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1970" firstSheet="8" activeTab="11"/>
  </bookViews>
  <sheets>
    <sheet name="interv confid" sheetId="3" r:id="rId1"/>
    <sheet name="regressione" sheetId="7" r:id="rId2"/>
    <sheet name="cramer" sheetId="9" r:id="rId3"/>
    <sheet name="covarianza e correlazione" sheetId="14" r:id="rId4"/>
    <sheet name="concentrazione" sheetId="10" r:id="rId5"/>
    <sheet name="istogramma" sheetId="11" r:id="rId6"/>
    <sheet name="SDE" sheetId="15" r:id="rId7"/>
    <sheet name="associazione" sheetId="16" r:id="rId8"/>
    <sheet name="esercizio sulla distrib normale" sheetId="13" r:id="rId9"/>
    <sheet name="eta quadro" sheetId="1" r:id="rId10"/>
    <sheet name="eta quadro e int confid" sheetId="8" r:id="rId11"/>
    <sheet name="rapp conc ord e non inbase a x" sheetId="17" r:id="rId12"/>
    <sheet name="Foglio2" sheetId="18" r:id="rId13"/>
  </sheets>
  <definedNames>
    <definedName name="solver_adj" localSheetId="1" hidden="1">regressione!$H$3:$H$4</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opt" localSheetId="1" hidden="1">regressione!$G$8</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2</definedName>
    <definedName name="solver_val" localSheetId="1" hidden="1">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1" i="17" l="1"/>
  <c r="M3" i="17"/>
  <c r="O3" i="17"/>
  <c r="P3" i="17"/>
  <c r="Q3" i="17"/>
  <c r="R3" i="17"/>
  <c r="S3" i="17"/>
  <c r="T3" i="17"/>
  <c r="U3" i="17"/>
  <c r="V3" i="17"/>
  <c r="W3" i="17"/>
  <c r="X3" i="17"/>
  <c r="Y3" i="17"/>
  <c r="Z3" i="17"/>
  <c r="AA3" i="17"/>
  <c r="AB3" i="17"/>
  <c r="AC3" i="17"/>
  <c r="AD3" i="17"/>
  <c r="AE3" i="17"/>
  <c r="AF3" i="17"/>
  <c r="AG3" i="17"/>
  <c r="AH3" i="17"/>
  <c r="AI3" i="17"/>
  <c r="AJ3" i="17"/>
  <c r="AK3" i="17"/>
  <c r="M4" i="17"/>
  <c r="N4" i="17"/>
  <c r="P4" i="17"/>
  <c r="Q4" i="17"/>
  <c r="R4" i="17"/>
  <c r="S4" i="17"/>
  <c r="T4" i="17"/>
  <c r="U4" i="17"/>
  <c r="V4" i="17"/>
  <c r="W4" i="17"/>
  <c r="X4" i="17"/>
  <c r="Y4" i="17"/>
  <c r="Z4" i="17"/>
  <c r="AA4" i="17"/>
  <c r="AB4" i="17"/>
  <c r="AC4" i="17"/>
  <c r="AD4" i="17"/>
  <c r="AE4" i="17"/>
  <c r="AF4" i="17"/>
  <c r="AG4" i="17"/>
  <c r="AH4" i="17"/>
  <c r="AI4" i="17"/>
  <c r="AJ4" i="17"/>
  <c r="AK4" i="17"/>
  <c r="M5" i="17"/>
  <c r="N5" i="17"/>
  <c r="O5" i="17"/>
  <c r="Q5" i="17"/>
  <c r="R5" i="17"/>
  <c r="S5" i="17"/>
  <c r="T5" i="17"/>
  <c r="U5" i="17"/>
  <c r="V5" i="17"/>
  <c r="W5" i="17"/>
  <c r="X5" i="17"/>
  <c r="Y5" i="17"/>
  <c r="Z5" i="17"/>
  <c r="AA5" i="17"/>
  <c r="AB5" i="17"/>
  <c r="AC5" i="17"/>
  <c r="AD5" i="17"/>
  <c r="AE5" i="17"/>
  <c r="AF5" i="17"/>
  <c r="AG5" i="17"/>
  <c r="AH5" i="17"/>
  <c r="AI5" i="17"/>
  <c r="AJ5" i="17"/>
  <c r="AK5" i="17"/>
  <c r="M6" i="17"/>
  <c r="N6" i="17"/>
  <c r="O6" i="17"/>
  <c r="P6" i="17"/>
  <c r="R6" i="17"/>
  <c r="S6" i="17"/>
  <c r="T6" i="17"/>
  <c r="U6" i="17"/>
  <c r="V6" i="17"/>
  <c r="W6" i="17"/>
  <c r="X6" i="17"/>
  <c r="Y6" i="17"/>
  <c r="Z6" i="17"/>
  <c r="AA6" i="17"/>
  <c r="AB6" i="17"/>
  <c r="AC6" i="17"/>
  <c r="AD6" i="17"/>
  <c r="AE6" i="17"/>
  <c r="AF6" i="17"/>
  <c r="AG6" i="17"/>
  <c r="AH6" i="17"/>
  <c r="AI6" i="17"/>
  <c r="AJ6" i="17"/>
  <c r="AK6" i="17"/>
  <c r="M7" i="17"/>
  <c r="N7" i="17"/>
  <c r="O7" i="17"/>
  <c r="P7" i="17"/>
  <c r="Q7" i="17"/>
  <c r="S7" i="17"/>
  <c r="T7" i="17"/>
  <c r="U7" i="17"/>
  <c r="V7" i="17"/>
  <c r="W7" i="17"/>
  <c r="X7" i="17"/>
  <c r="Y7" i="17"/>
  <c r="Z7" i="17"/>
  <c r="AA7" i="17"/>
  <c r="AB7" i="17"/>
  <c r="AC7" i="17"/>
  <c r="AD7" i="17"/>
  <c r="AE7" i="17"/>
  <c r="AF7" i="17"/>
  <c r="AG7" i="17"/>
  <c r="AH7" i="17"/>
  <c r="AI7" i="17"/>
  <c r="AJ7" i="17"/>
  <c r="AK7" i="17"/>
  <c r="M8" i="17"/>
  <c r="N8" i="17"/>
  <c r="O8" i="17"/>
  <c r="P8" i="17"/>
  <c r="Q8" i="17"/>
  <c r="R8" i="17"/>
  <c r="T8" i="17"/>
  <c r="U8" i="17"/>
  <c r="V8" i="17"/>
  <c r="W8" i="17"/>
  <c r="X8" i="17"/>
  <c r="Y8" i="17"/>
  <c r="Z8" i="17"/>
  <c r="AA8" i="17"/>
  <c r="AB8" i="17"/>
  <c r="AC8" i="17"/>
  <c r="AD8" i="17"/>
  <c r="AE8" i="17"/>
  <c r="AF8" i="17"/>
  <c r="AG8" i="17"/>
  <c r="AH8" i="17"/>
  <c r="AI8" i="17"/>
  <c r="AJ8" i="17"/>
  <c r="AK8" i="17"/>
  <c r="M9" i="17"/>
  <c r="N9" i="17"/>
  <c r="O9" i="17"/>
  <c r="P9" i="17"/>
  <c r="Q9" i="17"/>
  <c r="R9" i="17"/>
  <c r="S9" i="17"/>
  <c r="U9" i="17"/>
  <c r="V9" i="17"/>
  <c r="W9" i="17"/>
  <c r="X9" i="17"/>
  <c r="Y9" i="17"/>
  <c r="Z9" i="17"/>
  <c r="AA9" i="17"/>
  <c r="AB9" i="17"/>
  <c r="AC9" i="17"/>
  <c r="AD9" i="17"/>
  <c r="AE9" i="17"/>
  <c r="AF9" i="17"/>
  <c r="AG9" i="17"/>
  <c r="AH9" i="17"/>
  <c r="AI9" i="17"/>
  <c r="AJ9" i="17"/>
  <c r="AK9" i="17"/>
  <c r="M10" i="17"/>
  <c r="N10" i="17"/>
  <c r="O10" i="17"/>
  <c r="P10" i="17"/>
  <c r="Q10" i="17"/>
  <c r="R10" i="17"/>
  <c r="S10" i="17"/>
  <c r="T10" i="17"/>
  <c r="V10" i="17"/>
  <c r="W10" i="17"/>
  <c r="X10" i="17"/>
  <c r="Y10" i="17"/>
  <c r="Z10" i="17"/>
  <c r="AA10" i="17"/>
  <c r="AB10" i="17"/>
  <c r="AC10" i="17"/>
  <c r="AD10" i="17"/>
  <c r="AE10" i="17"/>
  <c r="AF10" i="17"/>
  <c r="AG10" i="17"/>
  <c r="AH10" i="17"/>
  <c r="AI10" i="17"/>
  <c r="AJ10" i="17"/>
  <c r="AK10" i="17"/>
  <c r="M11" i="17"/>
  <c r="N11" i="17"/>
  <c r="O11" i="17"/>
  <c r="P11" i="17"/>
  <c r="Q11" i="17"/>
  <c r="R11" i="17"/>
  <c r="S11" i="17"/>
  <c r="T11" i="17"/>
  <c r="U11" i="17"/>
  <c r="W11" i="17"/>
  <c r="X11" i="17"/>
  <c r="Y11" i="17"/>
  <c r="Z11" i="17"/>
  <c r="AA11" i="17"/>
  <c r="AB11" i="17"/>
  <c r="AC11" i="17"/>
  <c r="AD11" i="17"/>
  <c r="AE11" i="17"/>
  <c r="AF11" i="17"/>
  <c r="AG11" i="17"/>
  <c r="AH11" i="17"/>
  <c r="AI11" i="17"/>
  <c r="AJ11" i="17"/>
  <c r="AK11" i="17"/>
  <c r="M12" i="17"/>
  <c r="N12" i="17"/>
  <c r="O12" i="17"/>
  <c r="P12" i="17"/>
  <c r="Q12" i="17"/>
  <c r="R12" i="17"/>
  <c r="S12" i="17"/>
  <c r="T12" i="17"/>
  <c r="U12" i="17"/>
  <c r="V12" i="17"/>
  <c r="X12" i="17"/>
  <c r="Y12" i="17"/>
  <c r="Z12" i="17"/>
  <c r="AA12" i="17"/>
  <c r="AB12" i="17"/>
  <c r="AC12" i="17"/>
  <c r="AD12" i="17"/>
  <c r="AE12" i="17"/>
  <c r="AF12" i="17"/>
  <c r="AG12" i="17"/>
  <c r="AH12" i="17"/>
  <c r="AI12" i="17"/>
  <c r="AJ12" i="17"/>
  <c r="AK12" i="17"/>
  <c r="M13" i="17"/>
  <c r="N13" i="17"/>
  <c r="O13" i="17"/>
  <c r="P13" i="17"/>
  <c r="Q13" i="17"/>
  <c r="R13" i="17"/>
  <c r="S13" i="17"/>
  <c r="T13" i="17"/>
  <c r="U13" i="17"/>
  <c r="V13" i="17"/>
  <c r="W13" i="17"/>
  <c r="Y13" i="17"/>
  <c r="Z13" i="17"/>
  <c r="AA13" i="17"/>
  <c r="AB13" i="17"/>
  <c r="AC13" i="17"/>
  <c r="AD13" i="17"/>
  <c r="AE13" i="17"/>
  <c r="AF13" i="17"/>
  <c r="AG13" i="17"/>
  <c r="AH13" i="17"/>
  <c r="AI13" i="17"/>
  <c r="AJ13" i="17"/>
  <c r="AK13" i="17"/>
  <c r="M14" i="17"/>
  <c r="N14" i="17"/>
  <c r="O14" i="17"/>
  <c r="P14" i="17"/>
  <c r="Q14" i="17"/>
  <c r="R14" i="17"/>
  <c r="S14" i="17"/>
  <c r="T14" i="17"/>
  <c r="U14" i="17"/>
  <c r="V14" i="17"/>
  <c r="W14" i="17"/>
  <c r="X14" i="17"/>
  <c r="Z14" i="17"/>
  <c r="AA14" i="17"/>
  <c r="AB14" i="17"/>
  <c r="AC14" i="17"/>
  <c r="AD14" i="17"/>
  <c r="AE14" i="17"/>
  <c r="AF14" i="17"/>
  <c r="AG14" i="17"/>
  <c r="AH14" i="17"/>
  <c r="AI14" i="17"/>
  <c r="AJ14" i="17"/>
  <c r="AK14" i="17"/>
  <c r="M15" i="17"/>
  <c r="N15" i="17"/>
  <c r="O15" i="17"/>
  <c r="P15" i="17"/>
  <c r="Q15" i="17"/>
  <c r="R15" i="17"/>
  <c r="S15" i="17"/>
  <c r="T15" i="17"/>
  <c r="U15" i="17"/>
  <c r="V15" i="17"/>
  <c r="W15" i="17"/>
  <c r="X15" i="17"/>
  <c r="Y15" i="17"/>
  <c r="AA15" i="17"/>
  <c r="AB15" i="17"/>
  <c r="AC15" i="17"/>
  <c r="AD15" i="17"/>
  <c r="AE15" i="17"/>
  <c r="AF15" i="17"/>
  <c r="AG15" i="17"/>
  <c r="AH15" i="17"/>
  <c r="AI15" i="17"/>
  <c r="AJ15" i="17"/>
  <c r="AK15" i="17"/>
  <c r="M16" i="17"/>
  <c r="N16" i="17"/>
  <c r="O16" i="17"/>
  <c r="P16" i="17"/>
  <c r="Q16" i="17"/>
  <c r="R16" i="17"/>
  <c r="S16" i="17"/>
  <c r="T16" i="17"/>
  <c r="U16" i="17"/>
  <c r="V16" i="17"/>
  <c r="W16" i="17"/>
  <c r="X16" i="17"/>
  <c r="Y16" i="17"/>
  <c r="Z16" i="17"/>
  <c r="AB16" i="17"/>
  <c r="AC16" i="17"/>
  <c r="AD16" i="17"/>
  <c r="AE16" i="17"/>
  <c r="AF16" i="17"/>
  <c r="AG16" i="17"/>
  <c r="AH16" i="17"/>
  <c r="AI16" i="17"/>
  <c r="AJ16" i="17"/>
  <c r="AK16" i="17"/>
  <c r="M17" i="17"/>
  <c r="N17" i="17"/>
  <c r="O17" i="17"/>
  <c r="P17" i="17"/>
  <c r="Q17" i="17"/>
  <c r="R17" i="17"/>
  <c r="S17" i="17"/>
  <c r="T17" i="17"/>
  <c r="U17" i="17"/>
  <c r="V17" i="17"/>
  <c r="W17" i="17"/>
  <c r="X17" i="17"/>
  <c r="Y17" i="17"/>
  <c r="Z17" i="17"/>
  <c r="AA17" i="17"/>
  <c r="AC17" i="17"/>
  <c r="AD17" i="17"/>
  <c r="AE17" i="17"/>
  <c r="AF17" i="17"/>
  <c r="AG17" i="17"/>
  <c r="AH17" i="17"/>
  <c r="AI17" i="17"/>
  <c r="AJ17" i="17"/>
  <c r="AK17" i="17"/>
  <c r="M18" i="17"/>
  <c r="N18" i="17"/>
  <c r="O18" i="17"/>
  <c r="P18" i="17"/>
  <c r="Q18" i="17"/>
  <c r="R18" i="17"/>
  <c r="S18" i="17"/>
  <c r="T18" i="17"/>
  <c r="U18" i="17"/>
  <c r="V18" i="17"/>
  <c r="W18" i="17"/>
  <c r="X18" i="17"/>
  <c r="Y18" i="17"/>
  <c r="Z18" i="17"/>
  <c r="AA18" i="17"/>
  <c r="AB18" i="17"/>
  <c r="AD18" i="17"/>
  <c r="AE18" i="17"/>
  <c r="AF18" i="17"/>
  <c r="AG18" i="17"/>
  <c r="AH18" i="17"/>
  <c r="AI18" i="17"/>
  <c r="AJ18" i="17"/>
  <c r="AK18" i="17"/>
  <c r="M19" i="17"/>
  <c r="N19" i="17"/>
  <c r="O19" i="17"/>
  <c r="P19" i="17"/>
  <c r="Q19" i="17"/>
  <c r="R19" i="17"/>
  <c r="S19" i="17"/>
  <c r="T19" i="17"/>
  <c r="U19" i="17"/>
  <c r="V19" i="17"/>
  <c r="W19" i="17"/>
  <c r="X19" i="17"/>
  <c r="Y19" i="17"/>
  <c r="Z19" i="17"/>
  <c r="AA19" i="17"/>
  <c r="AB19" i="17"/>
  <c r="AC19" i="17"/>
  <c r="AE19" i="17"/>
  <c r="AF19" i="17"/>
  <c r="AG19" i="17"/>
  <c r="AH19" i="17"/>
  <c r="AI19" i="17"/>
  <c r="AJ19" i="17"/>
  <c r="AK19" i="17"/>
  <c r="M20" i="17"/>
  <c r="N20" i="17"/>
  <c r="O20" i="17"/>
  <c r="P20" i="17"/>
  <c r="Q20" i="17"/>
  <c r="R20" i="17"/>
  <c r="S20" i="17"/>
  <c r="T20" i="17"/>
  <c r="U20" i="17"/>
  <c r="V20" i="17"/>
  <c r="W20" i="17"/>
  <c r="X20" i="17"/>
  <c r="Y20" i="17"/>
  <c r="Z20" i="17"/>
  <c r="AA20" i="17"/>
  <c r="AB20" i="17"/>
  <c r="AC20" i="17"/>
  <c r="AD20" i="17"/>
  <c r="AF20" i="17"/>
  <c r="AG20" i="17"/>
  <c r="AH20" i="17"/>
  <c r="AI20" i="17"/>
  <c r="AJ20" i="17"/>
  <c r="AK20" i="17"/>
  <c r="M21" i="17"/>
  <c r="N21" i="17"/>
  <c r="O21" i="17"/>
  <c r="P21" i="17"/>
  <c r="Q21" i="17"/>
  <c r="R21" i="17"/>
  <c r="S21" i="17"/>
  <c r="T21" i="17"/>
  <c r="U21" i="17"/>
  <c r="V21" i="17"/>
  <c r="W21" i="17"/>
  <c r="X21" i="17"/>
  <c r="Y21" i="17"/>
  <c r="Z21" i="17"/>
  <c r="AA21" i="17"/>
  <c r="AB21" i="17"/>
  <c r="AC21" i="17"/>
  <c r="AD21" i="17"/>
  <c r="AE21" i="17"/>
  <c r="AG21" i="17"/>
  <c r="AH21" i="17"/>
  <c r="AI21" i="17"/>
  <c r="AJ21" i="17"/>
  <c r="AK21" i="17"/>
  <c r="M22" i="17"/>
  <c r="N22" i="17"/>
  <c r="O22" i="17"/>
  <c r="P22" i="17"/>
  <c r="Q22" i="17"/>
  <c r="R22" i="17"/>
  <c r="S22" i="17"/>
  <c r="T22" i="17"/>
  <c r="U22" i="17"/>
  <c r="V22" i="17"/>
  <c r="W22" i="17"/>
  <c r="X22" i="17"/>
  <c r="Y22" i="17"/>
  <c r="Z22" i="17"/>
  <c r="AA22" i="17"/>
  <c r="AB22" i="17"/>
  <c r="AC22" i="17"/>
  <c r="AD22" i="17"/>
  <c r="AE22" i="17"/>
  <c r="AF22" i="17"/>
  <c r="AH22" i="17"/>
  <c r="AI22" i="17"/>
  <c r="AJ22" i="17"/>
  <c r="AK22" i="17"/>
  <c r="M23" i="17"/>
  <c r="N23" i="17"/>
  <c r="O23" i="17"/>
  <c r="P23" i="17"/>
  <c r="Q23" i="17"/>
  <c r="R23" i="17"/>
  <c r="S23" i="17"/>
  <c r="T23" i="17"/>
  <c r="U23" i="17"/>
  <c r="V23" i="17"/>
  <c r="W23" i="17"/>
  <c r="X23" i="17"/>
  <c r="Y23" i="17"/>
  <c r="Z23" i="17"/>
  <c r="AA23" i="17"/>
  <c r="AB23" i="17"/>
  <c r="AC23" i="17"/>
  <c r="AD23" i="17"/>
  <c r="AE23" i="17"/>
  <c r="AF23" i="17"/>
  <c r="AG23" i="17"/>
  <c r="AI23" i="17"/>
  <c r="AJ23" i="17"/>
  <c r="AK23" i="17"/>
  <c r="M24" i="17"/>
  <c r="N24" i="17"/>
  <c r="O24" i="17"/>
  <c r="P24" i="17"/>
  <c r="Q24" i="17"/>
  <c r="R24" i="17"/>
  <c r="S24" i="17"/>
  <c r="T24" i="17"/>
  <c r="U24" i="17"/>
  <c r="V24" i="17"/>
  <c r="W24" i="17"/>
  <c r="X24" i="17"/>
  <c r="Y24" i="17"/>
  <c r="Z24" i="17"/>
  <c r="AA24" i="17"/>
  <c r="AB24" i="17"/>
  <c r="AC24" i="17"/>
  <c r="AD24" i="17"/>
  <c r="AE24" i="17"/>
  <c r="AF24" i="17"/>
  <c r="AG24" i="17"/>
  <c r="AH24" i="17"/>
  <c r="AJ24" i="17"/>
  <c r="AK24" i="17"/>
  <c r="M25" i="17"/>
  <c r="N25" i="17"/>
  <c r="O25" i="17"/>
  <c r="P25" i="17"/>
  <c r="Q25" i="17"/>
  <c r="R25" i="17"/>
  <c r="S25" i="17"/>
  <c r="T25" i="17"/>
  <c r="U25" i="17"/>
  <c r="V25" i="17"/>
  <c r="W25" i="17"/>
  <c r="X25" i="17"/>
  <c r="Y25" i="17"/>
  <c r="Z25" i="17"/>
  <c r="AA25" i="17"/>
  <c r="AB25" i="17"/>
  <c r="AC25" i="17"/>
  <c r="AD25" i="17"/>
  <c r="AE25" i="17"/>
  <c r="AF25" i="17"/>
  <c r="AG25" i="17"/>
  <c r="AH25" i="17"/>
  <c r="AI25" i="17"/>
  <c r="AK25" i="17"/>
  <c r="M26" i="17"/>
  <c r="N26" i="17"/>
  <c r="O26" i="17"/>
  <c r="P26" i="17"/>
  <c r="Q26" i="17"/>
  <c r="R26" i="17"/>
  <c r="S26" i="17"/>
  <c r="T26" i="17"/>
  <c r="U26" i="17"/>
  <c r="V26" i="17"/>
  <c r="W26" i="17"/>
  <c r="X26" i="17"/>
  <c r="Y26" i="17"/>
  <c r="Z26" i="17"/>
  <c r="AA26" i="17"/>
  <c r="AB26" i="17"/>
  <c r="AC26" i="17"/>
  <c r="AD26" i="17"/>
  <c r="AE26" i="17"/>
  <c r="AF26" i="17"/>
  <c r="AG26" i="17"/>
  <c r="AH26" i="17"/>
  <c r="AI26" i="17"/>
  <c r="AJ26" i="17"/>
  <c r="N2" i="17"/>
  <c r="O2" i="17"/>
  <c r="P2" i="17"/>
  <c r="Q2" i="17"/>
  <c r="R2" i="17"/>
  <c r="S2" i="17"/>
  <c r="T2" i="17"/>
  <c r="U2" i="17"/>
  <c r="V2" i="17"/>
  <c r="W2" i="17"/>
  <c r="X2" i="17"/>
  <c r="Y2" i="17"/>
  <c r="Z2" i="17"/>
  <c r="AA2" i="17"/>
  <c r="AB2" i="17"/>
  <c r="AC2" i="17"/>
  <c r="AD2" i="17"/>
  <c r="AE2" i="17"/>
  <c r="AF2" i="17"/>
  <c r="AG2" i="17"/>
  <c r="AH2" i="17"/>
  <c r="AI2" i="17"/>
  <c r="AJ2" i="17"/>
  <c r="AK2" i="17"/>
  <c r="G3" i="17"/>
  <c r="G4" i="17"/>
  <c r="G5" i="17"/>
  <c r="G6" i="17"/>
  <c r="G7" i="17"/>
  <c r="G8" i="17"/>
  <c r="G9" i="17"/>
  <c r="G10" i="17"/>
  <c r="G11" i="17"/>
  <c r="G12" i="17"/>
  <c r="G13" i="17"/>
  <c r="G14" i="17"/>
  <c r="G15" i="17"/>
  <c r="G16" i="17"/>
  <c r="G17" i="17"/>
  <c r="G18" i="17"/>
  <c r="G19" i="17"/>
  <c r="G20" i="17"/>
  <c r="G21" i="17"/>
  <c r="G22" i="17"/>
  <c r="G23" i="17"/>
  <c r="G24" i="17"/>
  <c r="G25" i="17"/>
  <c r="G26" i="17"/>
  <c r="G2" i="17"/>
  <c r="F4" i="17"/>
  <c r="F5" i="17" s="1"/>
  <c r="F6" i="17" s="1"/>
  <c r="F7" i="17" s="1"/>
  <c r="F8" i="17" s="1"/>
  <c r="F9" i="17" s="1"/>
  <c r="F10" i="17" s="1"/>
  <c r="F11" i="17" s="1"/>
  <c r="F12" i="17" s="1"/>
  <c r="F13" i="17" s="1"/>
  <c r="F14" i="17" s="1"/>
  <c r="F15" i="17" s="1"/>
  <c r="F16" i="17" s="1"/>
  <c r="F17" i="17" s="1"/>
  <c r="F18" i="17" s="1"/>
  <c r="F19" i="17" s="1"/>
  <c r="F20" i="17" s="1"/>
  <c r="F21" i="17" s="1"/>
  <c r="F22" i="17" s="1"/>
  <c r="F23" i="17" s="1"/>
  <c r="F24" i="17" s="1"/>
  <c r="F25" i="17" s="1"/>
  <c r="F26" i="17" s="1"/>
  <c r="F3" i="17"/>
  <c r="F2" i="17"/>
  <c r="F38" i="10"/>
  <c r="G38" i="10"/>
  <c r="F39" i="10"/>
  <c r="F40" i="10"/>
  <c r="E38" i="10"/>
  <c r="D40" i="10"/>
  <c r="D39" i="10"/>
  <c r="D38" i="10"/>
  <c r="E39" i="10"/>
  <c r="J42" i="10"/>
  <c r="J39" i="10"/>
  <c r="J40" i="10"/>
  <c r="K40" i="10"/>
  <c r="C42" i="10"/>
  <c r="G34" i="7"/>
  <c r="D66" i="7"/>
  <c r="F60" i="7"/>
  <c r="F55" i="7"/>
  <c r="H55" i="7" s="1"/>
  <c r="F56" i="7"/>
  <c r="F57" i="7"/>
  <c r="H57" i="7" s="1"/>
  <c r="F58" i="7"/>
  <c r="F59" i="7"/>
  <c r="H59" i="7" s="1"/>
  <c r="F54" i="7"/>
  <c r="D60" i="7"/>
  <c r="G60" i="7"/>
  <c r="H56" i="7"/>
  <c r="H58" i="7"/>
  <c r="H54" i="7"/>
  <c r="G55" i="7"/>
  <c r="G56" i="7"/>
  <c r="G57" i="7"/>
  <c r="G58" i="7"/>
  <c r="G59" i="7"/>
  <c r="G54" i="7"/>
  <c r="E55" i="7"/>
  <c r="E56" i="7"/>
  <c r="E57" i="7"/>
  <c r="E58" i="7"/>
  <c r="E59" i="7"/>
  <c r="E54" i="7"/>
  <c r="K4" i="15"/>
  <c r="K3" i="15"/>
  <c r="K2" i="15"/>
  <c r="G12" i="15"/>
  <c r="G8" i="15"/>
  <c r="E20" i="15"/>
  <c r="E21" i="15"/>
  <c r="E22" i="15"/>
  <c r="E23" i="15"/>
  <c r="E24" i="15"/>
  <c r="E19" i="15"/>
  <c r="D20" i="15"/>
  <c r="D21" i="15"/>
  <c r="D22" i="15"/>
  <c r="D23" i="15"/>
  <c r="D24" i="15"/>
  <c r="D19" i="15"/>
  <c r="F21" i="15"/>
  <c r="C20" i="15"/>
  <c r="C21" i="15"/>
  <c r="C22" i="15"/>
  <c r="C23" i="15"/>
  <c r="C24" i="15"/>
  <c r="C19" i="15"/>
  <c r="C9" i="1"/>
  <c r="C10" i="1" s="1"/>
  <c r="C8" i="1"/>
  <c r="I9" i="1" s="1"/>
  <c r="B8" i="1"/>
  <c r="H9" i="1" s="1"/>
  <c r="D6" i="1"/>
  <c r="D7" i="1"/>
  <c r="D5" i="1"/>
  <c r="E22" i="13"/>
  <c r="E21" i="13"/>
  <c r="G17" i="13"/>
  <c r="G16" i="13"/>
  <c r="G12" i="13"/>
  <c r="F11" i="13"/>
  <c r="C8" i="13"/>
  <c r="C7" i="13"/>
  <c r="H23" i="11"/>
  <c r="H22" i="11"/>
  <c r="H21" i="11"/>
  <c r="I33" i="11"/>
  <c r="I32" i="11"/>
  <c r="I29" i="11"/>
  <c r="I30" i="11" s="1"/>
  <c r="I31" i="11" s="1"/>
  <c r="I28" i="11"/>
  <c r="I27" i="11"/>
  <c r="H27" i="11"/>
  <c r="G4" i="11"/>
  <c r="H24" i="11"/>
  <c r="L29" i="17" l="1"/>
  <c r="L32" i="17" s="1"/>
  <c r="L28" i="17"/>
  <c r="I2" i="17"/>
  <c r="H60" i="7"/>
  <c r="B9" i="1"/>
  <c r="D8" i="1"/>
  <c r="D9" i="1" s="1"/>
  <c r="B10" i="1"/>
  <c r="D11" i="1" l="1"/>
  <c r="D10" i="1"/>
  <c r="D12" i="1"/>
  <c r="J9" i="1"/>
  <c r="E11" i="1" l="1"/>
  <c r="D13" i="1"/>
</calcChain>
</file>

<file path=xl/sharedStrings.xml><?xml version="1.0" encoding="utf-8"?>
<sst xmlns="http://schemas.openxmlformats.org/spreadsheetml/2006/main" count="233" uniqueCount="181">
  <si>
    <t>la seguente tabella riporta la distribuzione di frequenza (distinta per sesso) del numero di zampe rimaste a 100 piattole dopo la trazione di 80g</t>
  </si>
  <si>
    <t>M</t>
  </si>
  <si>
    <t>F</t>
  </si>
  <si>
    <t>zampe rimaste</t>
  </si>
  <si>
    <t>calcolare il rapporto di correlazione</t>
  </si>
  <si>
    <t>La distribuzione di frequenza per anno di nascita degli studenti presenti oggi è la seguente:</t>
  </si>
  <si>
    <t>Ipotizzando che questi 18 studenti siano un campione rappresentativo di tutti gli studenti del SECI, stimare l'anno di nascita medio degli studenti del SECI (confidenza al 99%)</t>
  </si>
  <si>
    <t>regressione</t>
  </si>
  <si>
    <t>La retta rossa del grafico qui sotto è la retta dei minimi quadrati per le 4 osservazioni contrassegnate da pallini blu?</t>
  </si>
  <si>
    <r>
      <t xml:space="preserve">Se </t>
    </r>
    <r>
      <rPr>
        <b/>
        <sz val="14"/>
        <color theme="1"/>
        <rFont val="Calibri"/>
        <family val="2"/>
        <scheme val="minor"/>
      </rPr>
      <t>sì</t>
    </r>
    <r>
      <rPr>
        <sz val="11"/>
        <color theme="1"/>
        <rFont val="Calibri"/>
        <family val="2"/>
        <scheme val="minor"/>
      </rPr>
      <t xml:space="preserve"> calcolare</t>
    </r>
  </si>
  <si>
    <t>la somma dei quadrati delle distanze verticali tra le osservazioni e la retta rossa</t>
  </si>
  <si>
    <t>la devianza totale di Y</t>
  </si>
  <si>
    <r>
      <t>l'indice di determinazione lineare R</t>
    </r>
    <r>
      <rPr>
        <vertAlign val="superscript"/>
        <sz val="11"/>
        <color theme="1"/>
        <rFont val="Calibri"/>
        <family val="2"/>
        <scheme val="minor"/>
      </rPr>
      <t>2</t>
    </r>
  </si>
  <si>
    <r>
      <t xml:space="preserve">Se </t>
    </r>
    <r>
      <rPr>
        <b/>
        <sz val="16"/>
        <color theme="1"/>
        <rFont val="Calibri"/>
        <family val="2"/>
        <scheme val="minor"/>
      </rPr>
      <t>no</t>
    </r>
    <r>
      <rPr>
        <sz val="11"/>
        <color theme="1"/>
        <rFont val="Calibri"/>
        <family val="2"/>
        <scheme val="minor"/>
      </rPr>
      <t xml:space="preserve"> calcolare:</t>
    </r>
  </si>
  <si>
    <t>la devianza residua della vera retta dei m.q.</t>
  </si>
  <si>
    <r>
      <t>1)</t>
    </r>
    <r>
      <rPr>
        <sz val="7"/>
        <color theme="1"/>
        <rFont val="Times New Roman"/>
        <family val="1"/>
      </rPr>
      <t xml:space="preserve">      </t>
    </r>
    <r>
      <rPr>
        <sz val="11"/>
        <color theme="1"/>
        <rFont val="Calibri"/>
        <family val="2"/>
        <scheme val="minor"/>
      </rPr>
      <t xml:space="preserve">Su un campione di 13 studenti del SECI è stato chiesto di dare un </t>
    </r>
    <r>
      <rPr>
        <b/>
        <sz val="11"/>
        <color theme="1"/>
        <rFont val="Calibri"/>
        <family val="2"/>
        <scheme val="minor"/>
      </rPr>
      <t>giudizio</t>
    </r>
    <r>
      <rPr>
        <sz val="11"/>
        <color theme="1"/>
        <rFont val="Calibri"/>
        <family val="2"/>
        <scheme val="minor"/>
      </rPr>
      <t xml:space="preserve"> sul corso di Fonti e Metodi prima dell’esame. Successivamente è stato rilevato, per ciascuno studente, il </t>
    </r>
    <r>
      <rPr>
        <b/>
        <sz val="11"/>
        <color theme="1"/>
        <rFont val="Calibri"/>
        <family val="2"/>
        <scheme val="minor"/>
      </rPr>
      <t>voto</t>
    </r>
    <r>
      <rPr>
        <sz val="11"/>
        <color theme="1"/>
        <rFont val="Calibri"/>
        <family val="2"/>
        <scheme val="minor"/>
      </rPr>
      <t xml:space="preserve"> conseguito all’esame. Misurare il grado di associazione tra i due caratteri con il coefficiente di correlazione lineare, oppure, se il coefficiente di correlazione lineare non si può calcolare, con il rapporto di correlazione. Se neppure questo è utilizzabile, “ripiegare” sull’indice V di Cramer. Fare un breve commento sui risultati ottenuti</t>
    </r>
  </si>
  <si>
    <t>studente</t>
  </si>
  <si>
    <t>giudizio</t>
  </si>
  <si>
    <t>Voto</t>
  </si>
  <si>
    <t>Paolo</t>
  </si>
  <si>
    <t>Pessimo</t>
  </si>
  <si>
    <t>Francesca</t>
  </si>
  <si>
    <t>Jane</t>
  </si>
  <si>
    <t>Normale</t>
  </si>
  <si>
    <t>Tarzan</t>
  </si>
  <si>
    <t>Ottimo</t>
  </si>
  <si>
    <t>Cheetah</t>
  </si>
  <si>
    <t>Orlando</t>
  </si>
  <si>
    <t>Odoacre</t>
  </si>
  <si>
    <t>Gigetta</t>
  </si>
  <si>
    <r>
      <t>2)</t>
    </r>
    <r>
      <rPr>
        <sz val="7"/>
        <color theme="1"/>
        <rFont val="Times New Roman"/>
        <family val="1"/>
      </rPr>
      <t xml:space="preserve">      </t>
    </r>
    <r>
      <rPr>
        <sz val="11"/>
        <color theme="1"/>
        <rFont val="Calibri"/>
        <family val="2"/>
        <scheme val="minor"/>
      </rPr>
      <t>In base ai dati della tabella di cui sopra fornire l’intervallo di stima al 90% per il voto medio all’esame di Fonti e Metodi per tutti gli studenti del SECI</t>
    </r>
  </si>
  <si>
    <t>Calcolare il valore di R-quadro per la retta dei minimi quadrati evidenziata sul grafico (e calcolata sulle tre osservazioni)</t>
  </si>
  <si>
    <t>Domanda 1</t>
  </si>
  <si>
    <t>In una classe di 24 bambini di 5a elementare, ci sono solo 8 maschi. 18 di</t>
  </si>
  <si>
    <t>questi bambini bambini tifano "fiorentina", mentre gli altri "altra</t>
  </si>
  <si>
    <t>squadra"</t>
  </si>
  <si>
    <t>Sapendo che l'indice V di Cramer tra i caratteri "squadra tifata" e</t>
  </si>
  <si>
    <t>"genere" (con due modalità ciascuno) è 0, quante bambine tifano</t>
  </si>
  <si>
    <t>fiorentina?</t>
  </si>
  <si>
    <t>Se il carattere X e il carattere Y osservati su n unità hanno entrambi</t>
  </si>
  <si>
    <t>varianza nulla, si può dire quanto vale la covarianza? E il coefficiente</t>
  </si>
  <si>
    <t>di correlazione lineare?</t>
  </si>
  <si>
    <t>3 bambini, A, B e C, hanno, rispettivamente, 15, 21 e 22 caramelle.</t>
  </si>
  <si>
    <t>Per ridurre la sperequazione, abbassando il rapporto di concentrazione, la mamma ha due strade:</t>
  </si>
  <si>
    <t>1- obbligare B e C  a dare ad A 2 caramelle ciascuno</t>
  </si>
  <si>
    <t>2- regalare a ciascun bambino altre 6 caramelle</t>
  </si>
  <si>
    <t>con quale strategia si abbassa di più il rapporto di concentrazione?</t>
  </si>
  <si>
    <t>Esercizio1</t>
  </si>
  <si>
    <t>La ditta Keyella, produttrice di cavi per cabinovie, sottopone 100</t>
  </si>
  <si>
    <t>spezzoni di cavo a trazioni di forza crescente, per testarne la</t>
  </si>
  <si>
    <t>resistenza. I risultati sono i seguenti:</t>
  </si>
  <si>
    <t>•        Al carico di 10 tonn resistono tutti senza rompersi.</t>
  </si>
  <si>
    <t>•        Se ne rompono 7 al carico di 12 tonn.</t>
  </si>
  <si>
    <t>•        Dei rimanenti se ne rompono 31 al carico di 16 tonn.</t>
  </si>
  <si>
    <t>•        Infine, tutti i cavi restanti si rompono sottoponendoli al carico di 20</t>
  </si>
  <si>
    <t>tonn.</t>
  </si>
  <si>
    <t>La ditta Keyella sostiene che, sulla base del test, si può supporre che la</t>
  </si>
  <si>
    <t>metà dei cavi avrebbe potuto resistere a una trazione fino a XXX tonn. e</t>
  </si>
  <si>
    <t>che la percentuale dei cavi che sopporta un carico di 15 tonn. sia il</t>
  </si>
  <si>
    <t>YYY%.</t>
  </si>
  <si>
    <t>(nel risolvere l’esercizio, si ipotizzi che la densità di frequenza sia</t>
  </si>
  <si>
    <t>costante all’interno di ogni classe).</t>
  </si>
  <si>
    <t>Esercizio2</t>
  </si>
  <si>
    <t>Si considerino i seguenti valori di due variabili osservati su 6 unità:</t>
  </si>
  <si>
    <t>x1=1;y1=2; x2=1;y2=4; x3=2;y2=9; x4=2;y4=13; x5=3;y5=12; x6=3;y6=14.</t>
  </si>
  <si>
    <t>Sapendo che la retta dei minimi quadrati è una delle due seguenti:</t>
  </si>
  <si>
    <t>y=5x</t>
  </si>
  <si>
    <t>Esercizio3</t>
  </si>
  <si>
    <t>Sono di più gli italiani la cui altezza è compresa tra 170 e 177 oppure</t>
  </si>
  <si>
    <t>si calcoli R-quadro (non usando il grafico)</t>
  </si>
  <si>
    <t>Il reddito della famiglia Felicioni a fine 2007, quando erano in tre, era di 1800 euro mensili. A fine 2012 i Felicioni sono 4, ma il loro tenore di vita è rimasto lo stesso. Calcolare il reddito dei Felicioni a fine 2012 sulla base delle informazioni della due tabelle qui sotto</t>
  </si>
  <si>
    <t>Tabella 1</t>
  </si>
  <si>
    <t>Periodo</t>
  </si>
  <si>
    <t>NIC - Compresi i tabacchi</t>
  </si>
  <si>
    <t>Indici</t>
  </si>
  <si>
    <t>Variazioni  %</t>
  </si>
  <si>
    <t>Rispetto al periodo precedente</t>
  </si>
  <si>
    <t>Rispetto al corrispondente periodo dell’anno precedente</t>
  </si>
  <si>
    <t xml:space="preserve"> Base 1995=100</t>
  </si>
  <si>
    <t>-</t>
  </si>
  <si>
    <t xml:space="preserve"> Base 2010=100</t>
  </si>
  <si>
    <t>Coefficiente di raccordo da base 1995 a base 2010</t>
  </si>
  <si>
    <t>Tabella 2</t>
  </si>
  <si>
    <t>Scala di equivalenza</t>
  </si>
  <si>
    <t xml:space="preserve">Ampiezza della famiglia </t>
  </si>
  <si>
    <t xml:space="preserve">Coefficienti </t>
  </si>
  <si>
    <t>Su una popolazione di 10000 studenti vengono rilevate le seguenti variabili (quantitative e qualitative):</t>
  </si>
  <si>
    <r>
      <t xml:space="preserve">sesso (SEX), ore settimanali di sport (HS), numero di esami dati per anno (ES), lunghezza del femore in cm (FEM), altezza (H), capelli tinti oppure no (TINTO). Riempire (ove possibile) la seguente tabella con valori plausibili per gli indici V (V di Cramer), </t>
    </r>
    <r>
      <rPr>
        <sz val="11"/>
        <color theme="1"/>
        <rFont val="Symbol"/>
        <family val="1"/>
        <charset val="2"/>
      </rPr>
      <t>r</t>
    </r>
    <r>
      <rPr>
        <sz val="11"/>
        <color theme="1"/>
        <rFont val="Calibri"/>
        <family val="2"/>
        <scheme val="minor"/>
      </rPr>
      <t xml:space="preserve"> (coefficiente di correlazione lineare) e </t>
    </r>
    <r>
      <rPr>
        <sz val="11"/>
        <color theme="1"/>
        <rFont val="Symbol"/>
        <family val="1"/>
        <charset val="2"/>
      </rPr>
      <t>h</t>
    </r>
    <r>
      <rPr>
        <sz val="11"/>
        <color theme="1"/>
        <rFont val="Calibri"/>
        <family val="2"/>
        <scheme val="minor"/>
      </rPr>
      <t xml:space="preserve"> (rapporto di correlazione).</t>
    </r>
  </si>
  <si>
    <t>Scrivere due parole per spiegare alcuni valori se non sono ovvii</t>
  </si>
  <si>
    <t>SEX</t>
  </si>
  <si>
    <t>HS</t>
  </si>
  <si>
    <t>ES</t>
  </si>
  <si>
    <t>FEM</t>
  </si>
  <si>
    <t>H</t>
  </si>
  <si>
    <t>TINTO</t>
  </si>
  <si>
    <t>V</t>
  </si>
  <si>
    <t>r</t>
  </si>
  <si>
    <t>h</t>
  </si>
  <si>
    <r>
      <t xml:space="preserve">In base alle informazioni di un campione di 14 famiglie, su cui viene rilevata la spesa mensile, viene fatta una stima puntale e una stima intervallare della media della spesa nella popolazione (sigma incognita). Si sa che le 14 famiglie spendono complessivamente (al mese) 28000 euro. Aggiungendo al campione una 15-esima famiglia la cui spesa è di 2000 euro mensili, dire come cambiano la stima puntuale e quella per intervallo (non si può dire “a priori”? Aumentano? Diminuiscono?). </t>
    </r>
    <r>
      <rPr>
        <b/>
        <sz val="11"/>
        <color theme="1"/>
        <rFont val="Calibri"/>
        <family val="2"/>
        <scheme val="minor"/>
      </rPr>
      <t>Scrivere una brevissima spiegazione</t>
    </r>
    <r>
      <rPr>
        <sz val="11"/>
        <color theme="1"/>
        <rFont val="Calibri"/>
        <family val="2"/>
        <scheme val="minor"/>
      </rPr>
      <t>.</t>
    </r>
  </si>
  <si>
    <t>L’ARZIGOGOLO</t>
  </si>
  <si>
    <t>Nel paese della Cuccagna il reddito medio degli abitanti della zona A è di 1000 euro, nella zona B è 2000 e nella zona C è 3000. Invece, nel paese del Bengodi, nella zona Alfa il reddito medio è 1900, nella zona Beta è 2000 e nella zona Gamma è 2100. In ciascuna delle sei zone il numero di abitanti è 100. Quale delle affermazioni qui sotto è quella giusta?</t>
  </si>
  <si>
    <t>firenze</t>
  </si>
  <si>
    <t>palermo</t>
  </si>
  <si>
    <t>milano</t>
  </si>
  <si>
    <t>la denistà di freq interna alla classe 2 (12-16t) è 31/4 (freq/ampiezza)</t>
  </si>
  <si>
    <t>significa che da 12t a 16 t si rompono 7,75 cavi ogni tonnellata ulteriore</t>
  </si>
  <si>
    <t>quindi fino a 15 t (3t dopo12t) si rompono 3x7,75=23,25 cavi</t>
  </si>
  <si>
    <t>sicocme 7 se ne erno già rotti</t>
  </si>
  <si>
    <t>si può dedurre che il 30,25% di cavi si rompono se li carico a 15 t</t>
  </si>
  <si>
    <t>quindi il restante 69,75% resiste a 15 t</t>
  </si>
  <si>
    <t>L’altezza degli italiani adulti si distribuisce normalmente con media 172 e deviazione standard 20.</t>
  </si>
  <si>
    <t>standardizzati</t>
  </si>
  <si>
    <t xml:space="preserve">l'area a sx di +0,1 </t>
  </si>
  <si>
    <t>è</t>
  </si>
  <si>
    <t>quindi la coda a dx di +0,1 è</t>
  </si>
  <si>
    <t>(170-172)/20</t>
  </si>
  <si>
    <t>(177-172)/20</t>
  </si>
  <si>
    <t>per la simmetria pure la coda a sx di -0,1 è</t>
  </si>
  <si>
    <t>l'area a sx di 0,25 è</t>
  </si>
  <si>
    <t xml:space="preserve">quindi l'area compresa tra -0,1 e +0,25 è </t>
  </si>
  <si>
    <t>cioè la prob di essere alti ttra 170 e 177 è</t>
  </si>
  <si>
    <t>=DISTRIB.NORM.N(177;172;20;1)-DISTRIB.NORM.N(170;172;20;1)</t>
  </si>
  <si>
    <t>potevo direttamente fare anche</t>
  </si>
  <si>
    <t>la prob di esseere + alti di 177 è pari all'area a dx di 0,25 sull n.st.</t>
  </si>
  <si>
    <t xml:space="preserve">cioè </t>
  </si>
  <si>
    <t>1-</t>
  </si>
  <si>
    <t xml:space="preserve">e quindi </t>
  </si>
  <si>
    <t>quindi il 40,13% è + alto di 177</t>
  </si>
  <si>
    <t>il 13,85% è tra 170 e 177</t>
  </si>
  <si>
    <t xml:space="preserve">quelli più alti di 177?  </t>
  </si>
  <si>
    <t>tot</t>
  </si>
  <si>
    <t>medie</t>
  </si>
  <si>
    <t>elegante</t>
  </si>
  <si>
    <t>varianze</t>
  </si>
  <si>
    <t>media delle varianze</t>
  </si>
  <si>
    <t>varianza delle medie</t>
  </si>
  <si>
    <t>vartot</t>
  </si>
  <si>
    <t>etaquadro</t>
  </si>
  <si>
    <t>una fam di 3 pers con 3400</t>
  </si>
  <si>
    <t>una fam di 5 pers con 4000</t>
  </si>
  <si>
    <t>quanto sono aumentati i prezzi?</t>
  </si>
  <si>
    <t>quanto sono aumentati i bisogni?</t>
  </si>
  <si>
    <r>
      <rPr>
        <sz val="8"/>
        <color theme="1"/>
        <rFont val="Calibri"/>
        <family val="2"/>
        <scheme val="minor"/>
      </rPr>
      <t>2007</t>
    </r>
    <r>
      <rPr>
        <sz val="11"/>
        <color theme="1"/>
        <rFont val="Calibri"/>
        <family val="2"/>
        <scheme val="minor"/>
      </rPr>
      <t>I</t>
    </r>
    <r>
      <rPr>
        <sz val="8"/>
        <color theme="1"/>
        <rFont val="Calibri"/>
        <family val="2"/>
        <scheme val="minor"/>
      </rPr>
      <t>2012</t>
    </r>
  </si>
  <si>
    <r>
      <rPr>
        <sz val="8"/>
        <color theme="1"/>
        <rFont val="Calibri"/>
        <family val="2"/>
        <scheme val="minor"/>
      </rPr>
      <t>3</t>
    </r>
    <r>
      <rPr>
        <sz val="11"/>
        <color theme="1"/>
        <rFont val="Calibri"/>
        <family val="2"/>
        <scheme val="minor"/>
      </rPr>
      <t>CE</t>
    </r>
    <r>
      <rPr>
        <sz val="8"/>
        <color theme="1"/>
        <rFont val="Calibri"/>
        <family val="2"/>
        <scheme val="minor"/>
      </rPr>
      <t>4</t>
    </r>
  </si>
  <si>
    <t>l'indice dei prezzi dal 95 al 12=</t>
  </si>
  <si>
    <t>indice dei prezzi dal 95 al 2010x indice dal 2010 al 2012</t>
  </si>
  <si>
    <t>il ni dal 07 al 12</t>
  </si>
  <si>
    <t>è uguale al ni dal 95 al 12 diviso il ni dal 95 al07</t>
  </si>
  <si>
    <t>allora l'indice dei prezzi dal 07 al 12 è</t>
  </si>
  <si>
    <t>la risposta è</t>
  </si>
  <si>
    <r>
      <t>-</t>
    </r>
    <r>
      <rPr>
        <sz val="14"/>
        <color theme="1"/>
        <rFont val="Times New Roman"/>
        <family val="1"/>
      </rPr>
      <t xml:space="preserve">          </t>
    </r>
    <r>
      <rPr>
        <sz val="14"/>
        <color theme="1"/>
        <rFont val="Calibri"/>
        <family val="2"/>
        <scheme val="minor"/>
      </rPr>
      <t>Il rapporto di correlazione (calcolato tra le variabili “zona” e “reddito”) nel paese della Cuccagna è certamente più alto di quello calcolato nel paese del Bengodi. Mancano però i dati per calcolarli esattamente. Motivare perché si sceglie questa affermazione.</t>
    </r>
  </si>
  <si>
    <r>
      <t>-</t>
    </r>
    <r>
      <rPr>
        <sz val="14"/>
        <color theme="1"/>
        <rFont val="Times New Roman"/>
        <family val="1"/>
      </rPr>
      <t xml:space="preserve">          </t>
    </r>
    <r>
      <rPr>
        <sz val="14"/>
        <color theme="1"/>
        <rFont val="Calibri"/>
        <family val="2"/>
        <scheme val="minor"/>
      </rPr>
      <t>Non è possibile calcolare il rapporto di correlazione tra le variabili “zona” e “reddito” Motivare perché si sceglie questa affermazione</t>
    </r>
  </si>
  <si>
    <r>
      <t>-</t>
    </r>
    <r>
      <rPr>
        <sz val="14"/>
        <color theme="1"/>
        <rFont val="Times New Roman"/>
        <family val="1"/>
      </rPr>
      <t xml:space="preserve">          </t>
    </r>
    <r>
      <rPr>
        <sz val="14"/>
        <color theme="1"/>
        <rFont val="Calibri"/>
        <family val="2"/>
        <scheme val="minor"/>
      </rPr>
      <t>Anche se possibile, non avrebbe senso calcolare il rapporto di correlazione tra le variabili “zona” e “reddito”. Motivare perché si sceglie questa affermazione.</t>
    </r>
  </si>
  <si>
    <r>
      <t>-</t>
    </r>
    <r>
      <rPr>
        <sz val="14"/>
        <color theme="1"/>
        <rFont val="Times New Roman"/>
        <family val="1"/>
      </rPr>
      <t xml:space="preserve">          </t>
    </r>
    <r>
      <rPr>
        <sz val="14"/>
        <color theme="1"/>
        <rFont val="Calibri"/>
        <family val="2"/>
        <scheme val="minor"/>
      </rPr>
      <t>Con le sole informazioni in possesso non posso dire se il rapporto di correlazione tra “zona” e “reddito” è più alto in un paese o nell’altro. Motivare perché si sceglie questa affermazione.</t>
    </r>
  </si>
  <si>
    <t>x</t>
  </si>
  <si>
    <t>y</t>
  </si>
  <si>
    <t>ycalc_a</t>
  </si>
  <si>
    <t>ycalc_b</t>
  </si>
  <si>
    <t>scartiquad_a</t>
  </si>
  <si>
    <t>scartiquad_b</t>
  </si>
  <si>
    <t>la cella gialla è la dev residua</t>
  </si>
  <si>
    <t>la cella arancio è la dev tot</t>
  </si>
  <si>
    <t>y= - 1+5x</t>
  </si>
  <si>
    <t>se la retta b è quella dei m.q. allora:</t>
  </si>
  <si>
    <t>la cella verde è la dev regr</t>
  </si>
  <si>
    <t>Rquad=</t>
  </si>
  <si>
    <t>il furbino poteva fare</t>
  </si>
  <si>
    <t>=INTERCETTA(D54:D59;C54:C59)</t>
  </si>
  <si>
    <t>=PENDENZA(D54:D59;C54:C59)</t>
  </si>
  <si>
    <t>=RQ(D54:D59;C54:C59)</t>
  </si>
  <si>
    <t>non calcolab</t>
  </si>
  <si>
    <t>A, B, C hanno rispettivamente 34, 80, 12 euro</t>
  </si>
  <si>
    <t>xi</t>
  </si>
  <si>
    <t>fi</t>
  </si>
  <si>
    <t>qi</t>
  </si>
  <si>
    <t>calcolare il rapp di concentrazione nei due modi (fi e qi oppure con la diff media semplice assoluta/2M)</t>
  </si>
  <si>
    <t>oss</t>
  </si>
  <si>
    <t>delta</t>
  </si>
  <si>
    <t>deltamax</t>
  </si>
  <si>
    <t>R</t>
  </si>
  <si>
    <t>sbagliato perché non ho ordinato in base a X</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</si>
</sst>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b/>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1"/>
      <name val="Arial Unicode MS"/>
      <family val="2"/>
    </font>
    <font>
      <b/>
      <sz val="16"/>
      <color rgb="FFFF0000"/>
      <name val="Calibri"/>
      <family val="2"/>
      <scheme val="minor"/>
    </font>
    <font>
      <b/>
      <sz val="14"/>
      <color theme="1"/>
      <name val="Calibri"/>
      <family val="2"/>
      <scheme val="minor"/>
    </font>
    <font>
      <vertAlign val="superscript"/>
      <sz val="11"/>
      <color theme="1"/>
      <name val="Calibri"/>
      <family val="2"/>
      <scheme val="minor"/>
    </font>
    <font>
      <b/>
      <sz val="16"/>
      <color theme="1"/>
      <name val="Calibri"/>
      <family val="2"/>
      <scheme val="minor"/>
    </font>
    <font>
      <sz val="7"/>
      <color theme="1"/>
      <name val="Times New Roman"/>
      <family val="1"/>
    </font>
    <font>
      <sz val="11"/>
      <color theme="1"/>
      <name val="Palatino Linotype"/>
      <family val="1"/>
    </font>
    <font>
      <b/>
      <sz val="18"/>
      <color theme="3"/>
      <name val="Calibri Light"/>
      <family val="2"/>
      <scheme val="major"/>
    </font>
    <font>
      <b/>
      <sz val="10"/>
      <color theme="1"/>
      <name val="Arial Narrow"/>
      <family val="2"/>
    </font>
    <font>
      <sz val="10"/>
      <color theme="1"/>
      <name val="Arial Narrow"/>
      <family val="2"/>
    </font>
    <font>
      <sz val="10"/>
      <color theme="1"/>
      <name val="Arial"/>
      <family val="2"/>
    </font>
    <font>
      <sz val="11"/>
      <color theme="1"/>
      <name val="Symbol"/>
      <family val="1"/>
      <charset val="2"/>
    </font>
    <font>
      <sz val="10"/>
      <color rgb="FFFF0000"/>
      <name val="Arial"/>
      <family val="2"/>
    </font>
    <font>
      <sz val="10"/>
      <color theme="1"/>
      <name val="Symbol"/>
      <family val="1"/>
      <charset val="2"/>
    </font>
    <font>
      <sz val="8"/>
      <color theme="1"/>
      <name val="Calibri"/>
      <family val="2"/>
      <scheme val="minor"/>
    </font>
    <font>
      <sz val="14"/>
      <color theme="1"/>
      <name val="Calibri"/>
      <family val="2"/>
      <scheme val="minor"/>
    </font>
    <font>
      <sz val="14"/>
      <color theme="1"/>
      <name val="Times New Roman"/>
      <family val="1"/>
    </font>
    <font>
      <sz val="16"/>
      <color theme="1"/>
      <name val="Calibri"/>
      <family val="2"/>
      <scheme val="minor"/>
    </font>
    <font>
      <sz val="18"/>
      <color theme="1"/>
      <name val="Calibri"/>
      <family val="2"/>
      <scheme val="minor"/>
    </font>
    <font>
      <sz val="24"/>
      <color theme="1"/>
      <name val="Calibri"/>
      <family val="2"/>
      <scheme val="minor"/>
    </font>
    <font>
      <sz val="18"/>
      <color theme="4" tint="-0.249977111117893"/>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FBFBF"/>
        <bgColor indexed="64"/>
      </patternFill>
    </fill>
    <fill>
      <patternFill patternType="solid">
        <fgColor rgb="FFFFFF00"/>
        <bgColor indexed="64"/>
      </patternFill>
    </fill>
    <fill>
      <patternFill patternType="solid">
        <fgColor rgb="FFFFC000"/>
        <bgColor indexed="64"/>
      </patternFill>
    </fill>
    <fill>
      <patternFill patternType="solid">
        <fgColor theme="9" tint="0.39997558519241921"/>
        <bgColor indexed="64"/>
      </patternFill>
    </fill>
    <fill>
      <patternFill patternType="solid">
        <fgColor theme="9"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s>
  <cellStyleXfs count="42">
    <xf numFmtId="0" fontId="0" fillId="0" borderId="0"/>
    <xf numFmtId="0" fontId="3" fillId="0" borderId="4" applyNumberFormat="0" applyFill="0" applyAlignment="0" applyProtection="0"/>
    <xf numFmtId="0" fontId="4" fillId="0" borderId="5" applyNumberFormat="0" applyFill="0" applyAlignment="0" applyProtection="0"/>
    <xf numFmtId="0" fontId="5" fillId="0" borderId="6"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7" applyNumberFormat="0" applyAlignment="0" applyProtection="0"/>
    <xf numFmtId="0" fontId="10" fillId="6" borderId="8" applyNumberFormat="0" applyAlignment="0" applyProtection="0"/>
    <xf numFmtId="0" fontId="11" fillId="6" borderId="7" applyNumberFormat="0" applyAlignment="0" applyProtection="0"/>
    <xf numFmtId="0" fontId="12" fillId="0" borderId="9" applyNumberFormat="0" applyFill="0" applyAlignment="0" applyProtection="0"/>
    <xf numFmtId="0" fontId="13" fillId="7" borderId="10" applyNumberFormat="0" applyAlignment="0" applyProtection="0"/>
    <xf numFmtId="0" fontId="14" fillId="0" borderId="0" applyNumberFormat="0" applyFill="0" applyBorder="0" applyAlignment="0" applyProtection="0"/>
    <xf numFmtId="0" fontId="2" fillId="8" borderId="11" applyNumberFormat="0" applyFont="0" applyAlignment="0" applyProtection="0"/>
    <xf numFmtId="0" fontId="15" fillId="0" borderId="0" applyNumberFormat="0" applyFill="0" applyBorder="0" applyAlignment="0" applyProtection="0"/>
    <xf numFmtId="0" fontId="1" fillId="0" borderId="12" applyNumberFormat="0" applyFill="0" applyAlignment="0" applyProtection="0"/>
    <xf numFmtId="0" fontId="16"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6" fillId="32" borderId="0" applyNumberFormat="0" applyBorder="0" applyAlignment="0" applyProtection="0"/>
    <xf numFmtId="0" fontId="24" fillId="0" borderId="0" applyNumberFormat="0" applyFill="0" applyBorder="0" applyAlignment="0" applyProtection="0"/>
  </cellStyleXfs>
  <cellXfs count="75">
    <xf numFmtId="0" fontId="0" fillId="0" borderId="0" xfId="0"/>
    <xf numFmtId="0" fontId="0" fillId="0" borderId="1" xfId="0" applyBorder="1" applyAlignment="1">
      <alignment horizontal="center" wrapText="1"/>
    </xf>
    <xf numFmtId="0" fontId="0" fillId="0" borderId="1" xfId="0" applyBorder="1" applyAlignment="1">
      <alignment horizontal="center"/>
    </xf>
    <xf numFmtId="0" fontId="0" fillId="0" borderId="0" xfId="0" applyAlignment="1">
      <alignment vertical="center"/>
    </xf>
    <xf numFmtId="0" fontId="17" fillId="0" borderId="0" xfId="0" applyFont="1" applyAlignment="1">
      <alignment vertical="center"/>
    </xf>
    <xf numFmtId="0" fontId="18" fillId="0" borderId="0" xfId="0" applyFont="1"/>
    <xf numFmtId="0" fontId="0" fillId="0" borderId="0" xfId="0" applyAlignment="1">
      <alignment horizontal="center"/>
    </xf>
    <xf numFmtId="0" fontId="0" fillId="0" borderId="0" xfId="0" applyAlignment="1">
      <alignment horizontal="left" vertical="center" indent="5"/>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3" xfId="0" applyBorder="1" applyAlignment="1">
      <alignment vertical="center" wrapText="1"/>
    </xf>
    <xf numFmtId="0" fontId="23" fillId="0" borderId="0" xfId="0" applyFont="1" applyAlignment="1">
      <alignment horizontal="left" vertical="center" indent="5"/>
    </xf>
    <xf numFmtId="0" fontId="26" fillId="0" borderId="2" xfId="0" applyFont="1" applyBorder="1" applyAlignment="1">
      <alignment horizontal="right" vertical="center" indent="4"/>
    </xf>
    <xf numFmtId="0" fontId="25" fillId="0" borderId="2" xfId="0" applyFont="1" applyBorder="1" applyAlignment="1">
      <alignment horizontal="right" vertical="center" indent="4"/>
    </xf>
    <xf numFmtId="0" fontId="26" fillId="0" borderId="2" xfId="0" applyFont="1" applyBorder="1" applyAlignment="1">
      <alignment vertical="center" wrapText="1"/>
    </xf>
    <xf numFmtId="0" fontId="26" fillId="0" borderId="2" xfId="0" applyFont="1" applyBorder="1" applyAlignment="1">
      <alignment horizontal="right" vertical="center" indent="5"/>
    </xf>
    <xf numFmtId="0" fontId="26" fillId="0" borderId="18" xfId="0" applyFont="1" applyBorder="1" applyAlignment="1">
      <alignment horizontal="right" vertical="center" indent="4"/>
    </xf>
    <xf numFmtId="0" fontId="25" fillId="0" borderId="18" xfId="0" applyFont="1" applyBorder="1" applyAlignment="1">
      <alignment vertical="center" wrapText="1"/>
    </xf>
    <xf numFmtId="0" fontId="25" fillId="0" borderId="2" xfId="0" applyFont="1" applyBorder="1" applyAlignment="1">
      <alignment horizontal="center" vertical="center" wrapText="1"/>
    </xf>
    <xf numFmtId="0" fontId="26" fillId="0" borderId="2" xfId="0" applyFont="1" applyBorder="1" applyAlignment="1">
      <alignment horizontal="center" vertical="center" wrapText="1"/>
    </xf>
    <xf numFmtId="0" fontId="25" fillId="0" borderId="18" xfId="0" applyFont="1" applyBorder="1" applyAlignment="1">
      <alignment horizontal="center" vertical="center" wrapText="1"/>
    </xf>
    <xf numFmtId="0" fontId="1" fillId="0" borderId="0" xfId="0" applyFont="1" applyAlignment="1">
      <alignment horizontal="justify" vertical="center"/>
    </xf>
    <xf numFmtId="0" fontId="0" fillId="0" borderId="2" xfId="0" applyBorder="1" applyAlignment="1">
      <alignment horizontal="center"/>
    </xf>
    <xf numFmtId="0" fontId="0" fillId="0" borderId="2" xfId="0" applyBorder="1"/>
    <xf numFmtId="0" fontId="0" fillId="0" borderId="0" xfId="0"/>
    <xf numFmtId="0" fontId="27" fillId="0" borderId="15"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27" fillId="0" borderId="14" xfId="0" applyFont="1" applyBorder="1" applyAlignment="1">
      <alignment vertical="center"/>
    </xf>
    <xf numFmtId="0" fontId="29" fillId="33" borderId="3" xfId="0" applyFont="1" applyFill="1" applyBorder="1" applyAlignment="1">
      <alignment vertical="center"/>
    </xf>
    <xf numFmtId="0" fontId="30" fillId="0" borderId="3" xfId="0" applyFont="1" applyBorder="1" applyAlignment="1">
      <alignment vertical="center"/>
    </xf>
    <xf numFmtId="0" fontId="27" fillId="0" borderId="3" xfId="0" applyFont="1" applyBorder="1" applyAlignment="1">
      <alignment vertical="center"/>
    </xf>
    <xf numFmtId="0" fontId="0" fillId="0" borderId="0" xfId="0" applyAlignment="1">
      <alignment horizontal="center" vertical="center" wrapText="1"/>
    </xf>
    <xf numFmtId="0" fontId="25" fillId="0" borderId="16" xfId="0" applyFont="1" applyBorder="1" applyAlignment="1">
      <alignment vertical="center" wrapText="1"/>
    </xf>
    <xf numFmtId="0" fontId="25" fillId="0" borderId="2" xfId="0" applyFont="1" applyBorder="1" applyAlignment="1">
      <alignment horizontal="center" vertical="center" wrapText="1"/>
    </xf>
    <xf numFmtId="0" fontId="26" fillId="0" borderId="19" xfId="0" applyFont="1" applyBorder="1" applyAlignment="1">
      <alignment vertical="center" wrapText="1"/>
    </xf>
    <xf numFmtId="0" fontId="27" fillId="0" borderId="20" xfId="0" applyFont="1" applyBorder="1" applyAlignment="1">
      <alignment horizontal="center" vertical="center" wrapText="1"/>
    </xf>
    <xf numFmtId="0" fontId="27" fillId="0" borderId="21"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6"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15" xfId="0" applyFont="1" applyBorder="1" applyAlignment="1">
      <alignment horizontal="center" vertical="center" wrapText="1"/>
    </xf>
    <xf numFmtId="0" fontId="0" fillId="0" borderId="0" xfId="0" quotePrefix="1"/>
    <xf numFmtId="0" fontId="0" fillId="0" borderId="0" xfId="0" applyAlignment="1">
      <alignment horizontal="right"/>
    </xf>
    <xf numFmtId="0" fontId="0" fillId="34" borderId="0" xfId="0" applyFill="1"/>
    <xf numFmtId="0" fontId="0" fillId="34" borderId="1" xfId="0" applyFill="1" applyBorder="1"/>
    <xf numFmtId="0" fontId="0" fillId="0" borderId="1" xfId="0" applyBorder="1" applyAlignment="1">
      <alignment horizontal="center" vertical="center"/>
    </xf>
    <xf numFmtId="0" fontId="27" fillId="0" borderId="24"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26" xfId="0" applyFont="1" applyBorder="1" applyAlignment="1">
      <alignment horizontal="center" vertical="center" wrapText="1"/>
    </xf>
    <xf numFmtId="0" fontId="0" fillId="0" borderId="27" xfId="0" applyBorder="1"/>
    <xf numFmtId="0" fontId="27" fillId="0" borderId="28" xfId="0" applyFont="1" applyBorder="1" applyAlignment="1">
      <alignment horizontal="center" vertical="center" wrapText="1"/>
    </xf>
    <xf numFmtId="0" fontId="0" fillId="0" borderId="25" xfId="0" applyBorder="1"/>
    <xf numFmtId="0" fontId="0" fillId="0" borderId="3" xfId="0" applyBorder="1"/>
    <xf numFmtId="0" fontId="0" fillId="0" borderId="26" xfId="0" applyBorder="1"/>
    <xf numFmtId="0" fontId="0" fillId="0" borderId="28" xfId="0" applyBorder="1"/>
    <xf numFmtId="0" fontId="0" fillId="0" borderId="24" xfId="0" applyBorder="1"/>
    <xf numFmtId="0" fontId="0" fillId="34" borderId="20" xfId="0" applyFill="1" applyBorder="1"/>
    <xf numFmtId="0" fontId="0" fillId="34" borderId="19" xfId="0" applyFill="1" applyBorder="1"/>
    <xf numFmtId="0" fontId="0" fillId="34" borderId="14" xfId="0" applyFill="1" applyBorder="1"/>
    <xf numFmtId="0" fontId="32" fillId="0" borderId="0" xfId="0" applyFont="1" applyAlignment="1">
      <alignment horizontal="center" vertical="center" wrapText="1"/>
    </xf>
    <xf numFmtId="0" fontId="0" fillId="35" borderId="0" xfId="0" applyFill="1" applyAlignment="1">
      <alignment horizontal="center"/>
    </xf>
    <xf numFmtId="0" fontId="0" fillId="36" borderId="0" xfId="0" applyFill="1" applyAlignment="1">
      <alignment horizontal="center"/>
    </xf>
    <xf numFmtId="0" fontId="34" fillId="0" borderId="0" xfId="0" applyFont="1"/>
    <xf numFmtId="0" fontId="35" fillId="0" borderId="0" xfId="0" applyFont="1"/>
    <xf numFmtId="0" fontId="35" fillId="0" borderId="0" xfId="0" applyFont="1" applyAlignment="1">
      <alignment vertical="top"/>
    </xf>
    <xf numFmtId="0" fontId="0" fillId="0" borderId="1" xfId="0" applyBorder="1"/>
    <xf numFmtId="0" fontId="36" fillId="0" borderId="0" xfId="0" applyFont="1"/>
    <xf numFmtId="0" fontId="35" fillId="0" borderId="0" xfId="0" quotePrefix="1" applyFont="1"/>
    <xf numFmtId="0" fontId="37" fillId="37" borderId="0" xfId="0" applyFont="1" applyFill="1"/>
  </cellXfs>
  <cellStyles count="42">
    <cellStyle name="20% - Colore 1" xfId="18" builtinId="30" customBuiltin="1"/>
    <cellStyle name="20% - Colore 2" xfId="22" builtinId="34" customBuiltin="1"/>
    <cellStyle name="20% - Colore 3" xfId="26" builtinId="38" customBuiltin="1"/>
    <cellStyle name="20% - Colore 4" xfId="30" builtinId="42" customBuiltin="1"/>
    <cellStyle name="20% - Colore 5" xfId="34" builtinId="46" customBuiltin="1"/>
    <cellStyle name="20% - Colore 6" xfId="38" builtinId="50" customBuiltin="1"/>
    <cellStyle name="40% - Colore 1" xfId="19" builtinId="31" customBuiltin="1"/>
    <cellStyle name="40% - Colore 2" xfId="23" builtinId="35" customBuiltin="1"/>
    <cellStyle name="40% - Colore 3" xfId="27" builtinId="39" customBuiltin="1"/>
    <cellStyle name="40% - Colore 4" xfId="31" builtinId="43" customBuiltin="1"/>
    <cellStyle name="40% - Colore 5" xfId="35" builtinId="47" customBuiltin="1"/>
    <cellStyle name="40% - Colore 6" xfId="39" builtinId="51" customBuiltin="1"/>
    <cellStyle name="60% - Colore 1" xfId="20" builtinId="32" customBuiltin="1"/>
    <cellStyle name="60% - Colore 2" xfId="24" builtinId="36" customBuiltin="1"/>
    <cellStyle name="60% - Colore 3" xfId="28" builtinId="40" customBuiltin="1"/>
    <cellStyle name="60% - Colore 4" xfId="32" builtinId="44" customBuiltin="1"/>
    <cellStyle name="60% - Colore 5" xfId="36" builtinId="48" customBuiltin="1"/>
    <cellStyle name="60% - Colore 6" xfId="40" builtinId="52" customBuiltin="1"/>
    <cellStyle name="Calcolo" xfId="10" builtinId="22" customBuiltin="1"/>
    <cellStyle name="Cella collegata" xfId="11" builtinId="24" customBuiltin="1"/>
    <cellStyle name="Cella da controllare" xfId="12" builtinId="23" customBuiltin="1"/>
    <cellStyle name="Colore 1" xfId="17" builtinId="29" customBuiltin="1"/>
    <cellStyle name="Colore 2" xfId="21" builtinId="33" customBuiltin="1"/>
    <cellStyle name="Colore 3" xfId="25" builtinId="37" customBuiltin="1"/>
    <cellStyle name="Colore 4" xfId="29" builtinId="41" customBuiltin="1"/>
    <cellStyle name="Colore 5" xfId="33" builtinId="45" customBuiltin="1"/>
    <cellStyle name="Colore 6" xfId="37" builtinId="49" customBuiltin="1"/>
    <cellStyle name="Input" xfId="8" builtinId="20" customBuiltin="1"/>
    <cellStyle name="Neutrale" xfId="7" builtinId="28" customBuiltin="1"/>
    <cellStyle name="Normale" xfId="0" builtinId="0"/>
    <cellStyle name="Nota" xfId="14" builtinId="10" customBuiltin="1"/>
    <cellStyle name="Output" xfId="9" builtinId="21" customBuiltin="1"/>
    <cellStyle name="Testo avviso" xfId="13" builtinId="11" customBuiltin="1"/>
    <cellStyle name="Testo descrittivo" xfId="15" builtinId="53" customBuiltin="1"/>
    <cellStyle name="Titolo 1" xfId="1" builtinId="16" customBuiltin="1"/>
    <cellStyle name="Titolo 2" xfId="2" builtinId="17" customBuiltin="1"/>
    <cellStyle name="Titolo 3" xfId="3" builtinId="18" customBuiltin="1"/>
    <cellStyle name="Titolo 4" xfId="4" builtinId="19" customBuiltin="1"/>
    <cellStyle name="Titolo 5" xfId="41"/>
    <cellStyle name="Totale" xfId="16" builtinId="25" customBuiltin="1"/>
    <cellStyle name="Valore non valido" xfId="6" builtinId="27" customBuiltin="1"/>
    <cellStyle name="Valore valido" xfId="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regressione!$D$53</c:f>
              <c:strCache>
                <c:ptCount val="1"/>
                <c:pt idx="0">
                  <c:v>y</c:v>
                </c:pt>
              </c:strCache>
            </c:strRef>
          </c:tx>
          <c:spPr>
            <a:ln w="19050">
              <a:noFill/>
            </a:ln>
          </c:spPr>
          <c:trendline>
            <c:trendlineType val="linear"/>
            <c:dispRSqr val="1"/>
            <c:dispEq val="1"/>
            <c:trendlineLbl>
              <c:layout>
                <c:manualLayout>
                  <c:x val="-0.18353827646544182"/>
                  <c:y val="-0.14850721784776902"/>
                </c:manualLayout>
              </c:layout>
              <c:numFmt formatCode="General" sourceLinked="0"/>
            </c:trendlineLbl>
          </c:trendline>
          <c:xVal>
            <c:numRef>
              <c:f>regressione!$C$54:$C$59</c:f>
              <c:numCache>
                <c:formatCode>General</c:formatCode>
                <c:ptCount val="6"/>
                <c:pt idx="0">
                  <c:v>1</c:v>
                </c:pt>
                <c:pt idx="1">
                  <c:v>1</c:v>
                </c:pt>
                <c:pt idx="2">
                  <c:v>2</c:v>
                </c:pt>
                <c:pt idx="3">
                  <c:v>2</c:v>
                </c:pt>
                <c:pt idx="4">
                  <c:v>3</c:v>
                </c:pt>
                <c:pt idx="5">
                  <c:v>3</c:v>
                </c:pt>
              </c:numCache>
            </c:numRef>
          </c:xVal>
          <c:yVal>
            <c:numRef>
              <c:f>regressione!$D$54:$D$59</c:f>
              <c:numCache>
                <c:formatCode>General</c:formatCode>
                <c:ptCount val="6"/>
                <c:pt idx="0">
                  <c:v>2</c:v>
                </c:pt>
                <c:pt idx="1">
                  <c:v>4</c:v>
                </c:pt>
                <c:pt idx="2">
                  <c:v>9</c:v>
                </c:pt>
                <c:pt idx="3">
                  <c:v>13</c:v>
                </c:pt>
                <c:pt idx="4">
                  <c:v>12</c:v>
                </c:pt>
                <c:pt idx="5">
                  <c:v>14</c:v>
                </c:pt>
              </c:numCache>
            </c:numRef>
          </c:yVal>
          <c:smooth val="0"/>
        </c:ser>
        <c:dLbls>
          <c:showLegendKey val="0"/>
          <c:showVal val="0"/>
          <c:showCatName val="0"/>
          <c:showSerName val="0"/>
          <c:showPercent val="0"/>
          <c:showBubbleSize val="0"/>
        </c:dLbls>
        <c:axId val="131876544"/>
        <c:axId val="131875968"/>
      </c:scatterChart>
      <c:valAx>
        <c:axId val="131876544"/>
        <c:scaling>
          <c:orientation val="minMax"/>
        </c:scaling>
        <c:delete val="0"/>
        <c:axPos val="b"/>
        <c:numFmt formatCode="General" sourceLinked="1"/>
        <c:majorTickMark val="out"/>
        <c:minorTickMark val="none"/>
        <c:tickLblPos val="nextTo"/>
        <c:crossAx val="131875968"/>
        <c:crosses val="autoZero"/>
        <c:crossBetween val="midCat"/>
      </c:valAx>
      <c:valAx>
        <c:axId val="131875968"/>
        <c:scaling>
          <c:orientation val="minMax"/>
        </c:scaling>
        <c:delete val="0"/>
        <c:axPos val="l"/>
        <c:majorGridlines/>
        <c:numFmt formatCode="General" sourceLinked="1"/>
        <c:majorTickMark val="out"/>
        <c:minorTickMark val="none"/>
        <c:tickLblPos val="nextTo"/>
        <c:crossAx val="131876544"/>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concentrazione!$E$37</c:f>
              <c:strCache>
                <c:ptCount val="1"/>
                <c:pt idx="0">
                  <c:v>qi</c:v>
                </c:pt>
              </c:strCache>
            </c:strRef>
          </c:tx>
          <c:xVal>
            <c:numRef>
              <c:f>concentrazione!$D$38:$D$40</c:f>
              <c:numCache>
                <c:formatCode>General</c:formatCode>
                <c:ptCount val="3"/>
                <c:pt idx="0">
                  <c:v>0.33333333333333331</c:v>
                </c:pt>
                <c:pt idx="1">
                  <c:v>0.66666666666666663</c:v>
                </c:pt>
                <c:pt idx="2">
                  <c:v>1</c:v>
                </c:pt>
              </c:numCache>
            </c:numRef>
          </c:xVal>
          <c:yVal>
            <c:numRef>
              <c:f>concentrazione!$E$38:$E$40</c:f>
              <c:numCache>
                <c:formatCode>General</c:formatCode>
                <c:ptCount val="3"/>
                <c:pt idx="0">
                  <c:v>9.5238095238095233E-2</c:v>
                </c:pt>
                <c:pt idx="1">
                  <c:v>0.36507936507936506</c:v>
                </c:pt>
                <c:pt idx="2">
                  <c:v>1</c:v>
                </c:pt>
              </c:numCache>
            </c:numRef>
          </c:yVal>
          <c:smooth val="0"/>
        </c:ser>
        <c:dLbls>
          <c:showLegendKey val="0"/>
          <c:showVal val="0"/>
          <c:showCatName val="0"/>
          <c:showSerName val="0"/>
          <c:showPercent val="0"/>
          <c:showBubbleSize val="0"/>
        </c:dLbls>
        <c:axId val="131881152"/>
        <c:axId val="131880576"/>
      </c:scatterChart>
      <c:valAx>
        <c:axId val="131881152"/>
        <c:scaling>
          <c:orientation val="minMax"/>
        </c:scaling>
        <c:delete val="0"/>
        <c:axPos val="b"/>
        <c:numFmt formatCode="General" sourceLinked="1"/>
        <c:majorTickMark val="out"/>
        <c:minorTickMark val="none"/>
        <c:tickLblPos val="nextTo"/>
        <c:crossAx val="131880576"/>
        <c:crosses val="autoZero"/>
        <c:crossBetween val="midCat"/>
      </c:valAx>
      <c:valAx>
        <c:axId val="131880576"/>
        <c:scaling>
          <c:orientation val="minMax"/>
        </c:scaling>
        <c:delete val="0"/>
        <c:axPos val="l"/>
        <c:majorGridlines/>
        <c:numFmt formatCode="General" sourceLinked="1"/>
        <c:majorTickMark val="out"/>
        <c:minorTickMark val="none"/>
        <c:tickLblPos val="nextTo"/>
        <c:crossAx val="1318811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istogramma!$I$2:$I$4</c:f>
              <c:strCache>
                <c:ptCount val="3"/>
                <c:pt idx="0">
                  <c:v>firenze</c:v>
                </c:pt>
                <c:pt idx="1">
                  <c:v>palermo</c:v>
                </c:pt>
                <c:pt idx="2">
                  <c:v>milano</c:v>
                </c:pt>
              </c:strCache>
            </c:strRef>
          </c:cat>
          <c:val>
            <c:numRef>
              <c:f>istogramma!$J$2:$J$4</c:f>
              <c:numCache>
                <c:formatCode>General</c:formatCode>
                <c:ptCount val="3"/>
                <c:pt idx="0">
                  <c:v>21</c:v>
                </c:pt>
                <c:pt idx="1">
                  <c:v>56</c:v>
                </c:pt>
                <c:pt idx="2">
                  <c:v>42</c:v>
                </c:pt>
              </c:numCache>
            </c:numRef>
          </c:val>
        </c:ser>
        <c:dLbls>
          <c:showLegendKey val="0"/>
          <c:showVal val="0"/>
          <c:showCatName val="0"/>
          <c:showSerName val="0"/>
          <c:showPercent val="0"/>
          <c:showBubbleSize val="0"/>
        </c:dLbls>
        <c:gapWidth val="150"/>
        <c:axId val="86394880"/>
        <c:axId val="86985536"/>
      </c:barChart>
      <c:catAx>
        <c:axId val="86394880"/>
        <c:scaling>
          <c:orientation val="minMax"/>
        </c:scaling>
        <c:delete val="0"/>
        <c:axPos val="b"/>
        <c:majorTickMark val="out"/>
        <c:minorTickMark val="none"/>
        <c:tickLblPos val="nextTo"/>
        <c:crossAx val="86985536"/>
        <c:crosses val="autoZero"/>
        <c:auto val="1"/>
        <c:lblAlgn val="ctr"/>
        <c:lblOffset val="100"/>
        <c:noMultiLvlLbl val="0"/>
      </c:catAx>
      <c:valAx>
        <c:axId val="86985536"/>
        <c:scaling>
          <c:orientation val="minMax"/>
        </c:scaling>
        <c:delete val="0"/>
        <c:axPos val="l"/>
        <c:majorGridlines/>
        <c:numFmt formatCode="General" sourceLinked="1"/>
        <c:majorTickMark val="out"/>
        <c:minorTickMark val="none"/>
        <c:tickLblPos val="nextTo"/>
        <c:crossAx val="86394880"/>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istogramma!$I$2:$I$4</c:f>
              <c:strCache>
                <c:ptCount val="3"/>
                <c:pt idx="0">
                  <c:v>firenze</c:v>
                </c:pt>
                <c:pt idx="1">
                  <c:v>palermo</c:v>
                </c:pt>
                <c:pt idx="2">
                  <c:v>milano</c:v>
                </c:pt>
              </c:strCache>
            </c:strRef>
          </c:cat>
          <c:val>
            <c:numRef>
              <c:f>istogramma!$J$2:$J$4</c:f>
              <c:numCache>
                <c:formatCode>General</c:formatCode>
                <c:ptCount val="3"/>
                <c:pt idx="0">
                  <c:v>21</c:v>
                </c:pt>
                <c:pt idx="1">
                  <c:v>56</c:v>
                </c:pt>
                <c:pt idx="2">
                  <c:v>42</c:v>
                </c:pt>
              </c:numCache>
            </c:numRef>
          </c:val>
        </c:ser>
        <c:dLbls>
          <c:showLegendKey val="0"/>
          <c:showVal val="0"/>
          <c:showCatName val="0"/>
          <c:showSerName val="0"/>
          <c:showPercent val="0"/>
          <c:showBubbleSize val="0"/>
        </c:dLbls>
        <c:gapWidth val="150"/>
        <c:axId val="115445760"/>
        <c:axId val="131269184"/>
      </c:barChart>
      <c:catAx>
        <c:axId val="115445760"/>
        <c:scaling>
          <c:orientation val="minMax"/>
        </c:scaling>
        <c:delete val="0"/>
        <c:axPos val="l"/>
        <c:majorTickMark val="out"/>
        <c:minorTickMark val="none"/>
        <c:tickLblPos val="nextTo"/>
        <c:crossAx val="131269184"/>
        <c:crosses val="autoZero"/>
        <c:auto val="1"/>
        <c:lblAlgn val="ctr"/>
        <c:lblOffset val="100"/>
        <c:noMultiLvlLbl val="0"/>
      </c:catAx>
      <c:valAx>
        <c:axId val="131269184"/>
        <c:scaling>
          <c:orientation val="minMax"/>
        </c:scaling>
        <c:delete val="0"/>
        <c:axPos val="b"/>
        <c:majorGridlines/>
        <c:numFmt formatCode="General" sourceLinked="1"/>
        <c:majorTickMark val="out"/>
        <c:minorTickMark val="none"/>
        <c:tickLblPos val="nextTo"/>
        <c:crossAx val="115445760"/>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strRef>
              <c:f>'rapp conc ord e non inbase a x'!$G$1</c:f>
              <c:strCache>
                <c:ptCount val="1"/>
                <c:pt idx="0">
                  <c:v>qi</c:v>
                </c:pt>
              </c:strCache>
            </c:strRef>
          </c:tx>
          <c:xVal>
            <c:numRef>
              <c:f>'rapp conc ord e non inbase a x'!$F$2:$F$26</c:f>
              <c:numCache>
                <c:formatCode>General</c:formatCode>
                <c:ptCount val="25"/>
                <c:pt idx="0">
                  <c:v>0.04</c:v>
                </c:pt>
                <c:pt idx="1">
                  <c:v>0.08</c:v>
                </c:pt>
                <c:pt idx="2">
                  <c:v>0.12</c:v>
                </c:pt>
                <c:pt idx="3">
                  <c:v>0.16</c:v>
                </c:pt>
                <c:pt idx="4">
                  <c:v>0.2</c:v>
                </c:pt>
                <c:pt idx="5">
                  <c:v>0.24000000000000002</c:v>
                </c:pt>
                <c:pt idx="6">
                  <c:v>0.28000000000000003</c:v>
                </c:pt>
                <c:pt idx="7">
                  <c:v>0.32</c:v>
                </c:pt>
                <c:pt idx="8">
                  <c:v>0.36</c:v>
                </c:pt>
                <c:pt idx="9">
                  <c:v>0.39999999999999997</c:v>
                </c:pt>
                <c:pt idx="10">
                  <c:v>0.43999999999999995</c:v>
                </c:pt>
                <c:pt idx="11">
                  <c:v>0.47999999999999993</c:v>
                </c:pt>
                <c:pt idx="12">
                  <c:v>0.51999999999999991</c:v>
                </c:pt>
                <c:pt idx="13">
                  <c:v>0.55999999999999994</c:v>
                </c:pt>
                <c:pt idx="14">
                  <c:v>0.6</c:v>
                </c:pt>
                <c:pt idx="15">
                  <c:v>0.64</c:v>
                </c:pt>
                <c:pt idx="16">
                  <c:v>0.68</c:v>
                </c:pt>
                <c:pt idx="17">
                  <c:v>0.72000000000000008</c:v>
                </c:pt>
                <c:pt idx="18">
                  <c:v>0.76000000000000012</c:v>
                </c:pt>
                <c:pt idx="19">
                  <c:v>0.80000000000000016</c:v>
                </c:pt>
                <c:pt idx="20">
                  <c:v>0.84000000000000019</c:v>
                </c:pt>
                <c:pt idx="21">
                  <c:v>0.88000000000000023</c:v>
                </c:pt>
                <c:pt idx="22">
                  <c:v>0.92000000000000026</c:v>
                </c:pt>
                <c:pt idx="23">
                  <c:v>0.9600000000000003</c:v>
                </c:pt>
                <c:pt idx="24">
                  <c:v>1.0000000000000002</c:v>
                </c:pt>
              </c:numCache>
            </c:numRef>
          </c:xVal>
          <c:yVal>
            <c:numRef>
              <c:f>'rapp conc ord e non inbase a x'!$G$2:$G$26</c:f>
              <c:numCache>
                <c:formatCode>General</c:formatCode>
                <c:ptCount val="25"/>
                <c:pt idx="0">
                  <c:v>4.5002965599051009E-2</c:v>
                </c:pt>
                <c:pt idx="1">
                  <c:v>8.5705812574139978E-2</c:v>
                </c:pt>
                <c:pt idx="2">
                  <c:v>0.13300711743772242</c:v>
                </c:pt>
                <c:pt idx="3">
                  <c:v>0.16006820877817318</c:v>
                </c:pt>
                <c:pt idx="4">
                  <c:v>0.20618327402135231</c:v>
                </c:pt>
                <c:pt idx="5">
                  <c:v>0.23910142348754448</c:v>
                </c:pt>
                <c:pt idx="6">
                  <c:v>0.2830664294187426</c:v>
                </c:pt>
                <c:pt idx="7">
                  <c:v>0.32532621589561089</c:v>
                </c:pt>
                <c:pt idx="8">
                  <c:v>0.35246144721233691</c:v>
                </c:pt>
                <c:pt idx="9">
                  <c:v>0.40057829181494664</c:v>
                </c:pt>
                <c:pt idx="10">
                  <c:v>0.43394128113879005</c:v>
                </c:pt>
                <c:pt idx="11">
                  <c:v>0.46611803084223014</c:v>
                </c:pt>
                <c:pt idx="12">
                  <c:v>0.50192763938315543</c:v>
                </c:pt>
                <c:pt idx="13">
                  <c:v>0.52876631079478054</c:v>
                </c:pt>
                <c:pt idx="14">
                  <c:v>0.57525207591933569</c:v>
                </c:pt>
                <c:pt idx="15">
                  <c:v>0.6247034400948992</c:v>
                </c:pt>
                <c:pt idx="16">
                  <c:v>0.66933570581257418</c:v>
                </c:pt>
                <c:pt idx="17">
                  <c:v>0.71604389086595488</c:v>
                </c:pt>
                <c:pt idx="18">
                  <c:v>0.7497034400948992</c:v>
                </c:pt>
                <c:pt idx="19">
                  <c:v>0.79782028469750887</c:v>
                </c:pt>
                <c:pt idx="20">
                  <c:v>0.84653024911032027</c:v>
                </c:pt>
                <c:pt idx="21">
                  <c:v>0.87522241992882566</c:v>
                </c:pt>
                <c:pt idx="22">
                  <c:v>0.91103202846975084</c:v>
                </c:pt>
                <c:pt idx="23">
                  <c:v>0.95499703440094896</c:v>
                </c:pt>
                <c:pt idx="24">
                  <c:v>1</c:v>
                </c:pt>
              </c:numCache>
            </c:numRef>
          </c:yVal>
          <c:smooth val="0"/>
        </c:ser>
        <c:dLbls>
          <c:showLegendKey val="0"/>
          <c:showVal val="0"/>
          <c:showCatName val="0"/>
          <c:showSerName val="0"/>
          <c:showPercent val="0"/>
          <c:showBubbleSize val="0"/>
        </c:dLbls>
        <c:axId val="134198336"/>
        <c:axId val="134197760"/>
      </c:scatterChart>
      <c:valAx>
        <c:axId val="134198336"/>
        <c:scaling>
          <c:orientation val="minMax"/>
          <c:max val="1"/>
        </c:scaling>
        <c:delete val="0"/>
        <c:axPos val="b"/>
        <c:numFmt formatCode="General" sourceLinked="1"/>
        <c:majorTickMark val="out"/>
        <c:minorTickMark val="none"/>
        <c:tickLblPos val="nextTo"/>
        <c:crossAx val="134197760"/>
        <c:crosses val="autoZero"/>
        <c:crossBetween val="midCat"/>
      </c:valAx>
      <c:valAx>
        <c:axId val="134197760"/>
        <c:scaling>
          <c:orientation val="minMax"/>
          <c:max val="1"/>
        </c:scaling>
        <c:delete val="0"/>
        <c:axPos val="l"/>
        <c:majorGridlines/>
        <c:numFmt formatCode="General" sourceLinked="1"/>
        <c:majorTickMark val="out"/>
        <c:minorTickMark val="none"/>
        <c:tickLblPos val="nextTo"/>
        <c:crossAx val="13419833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10</xdr:col>
      <xdr:colOff>190500</xdr:colOff>
      <xdr:row>5</xdr:row>
      <xdr:rowOff>19050</xdr:rowOff>
    </xdr:from>
    <xdr:to>
      <xdr:col>16</xdr:col>
      <xdr:colOff>243839</xdr:colOff>
      <xdr:row>21</xdr:row>
      <xdr:rowOff>99060</xdr:rowOff>
    </xdr:to>
    <xdr:pic>
      <xdr:nvPicPr>
        <xdr:cNvPr id="2" name="Immagine 1"/>
        <xdr:cNvPicPr>
          <a:picLocks noChangeAspect="1"/>
        </xdr:cNvPicPr>
      </xdr:nvPicPr>
      <xdr:blipFill>
        <a:blip xmlns:r="http://schemas.openxmlformats.org/officeDocument/2006/relationships" r:embed="rId1" cstate="print"/>
        <a:stretch>
          <a:fillRect/>
        </a:stretch>
      </xdr:blipFill>
      <xdr:spPr>
        <a:xfrm>
          <a:off x="6286500" y="1095375"/>
          <a:ext cx="3710940" cy="3261360"/>
        </a:xfrm>
        <a:prstGeom prst="rect">
          <a:avLst/>
        </a:prstGeom>
      </xdr:spPr>
    </xdr:pic>
    <xdr:clientData/>
  </xdr:twoCellAnchor>
  <xdr:twoCellAnchor editAs="oneCell">
    <xdr:from>
      <xdr:col>0</xdr:col>
      <xdr:colOff>333375</xdr:colOff>
      <xdr:row>31</xdr:row>
      <xdr:rowOff>95250</xdr:rowOff>
    </xdr:from>
    <xdr:to>
      <xdr:col>4</xdr:col>
      <xdr:colOff>348615</xdr:colOff>
      <xdr:row>42</xdr:row>
      <xdr:rowOff>64770</xdr:rowOff>
    </xdr:to>
    <xdr:pic>
      <xdr:nvPicPr>
        <xdr:cNvPr id="3" name="Immagine 2"/>
        <xdr:cNvPicPr>
          <a:picLocks noChangeAspect="1"/>
        </xdr:cNvPicPr>
      </xdr:nvPicPr>
      <xdr:blipFill>
        <a:blip xmlns:r="http://schemas.openxmlformats.org/officeDocument/2006/relationships" r:embed="rId2"/>
        <a:stretch>
          <a:fillRect/>
        </a:stretch>
      </xdr:blipFill>
      <xdr:spPr>
        <a:xfrm>
          <a:off x="333375" y="4038600"/>
          <a:ext cx="2453640" cy="2065020"/>
        </a:xfrm>
        <a:prstGeom prst="rect">
          <a:avLst/>
        </a:prstGeom>
      </xdr:spPr>
    </xdr:pic>
    <xdr:clientData/>
  </xdr:twoCellAnchor>
  <xdr:twoCellAnchor>
    <xdr:from>
      <xdr:col>0</xdr:col>
      <xdr:colOff>125016</xdr:colOff>
      <xdr:row>53</xdr:row>
      <xdr:rowOff>29764</xdr:rowOff>
    </xdr:from>
    <xdr:to>
      <xdr:col>4</xdr:col>
      <xdr:colOff>208359</xdr:colOff>
      <xdr:row>64</xdr:row>
      <xdr:rowOff>70841</xdr:rowOff>
    </xdr:to>
    <xdr:graphicFrame macro="">
      <xdr:nvGraphicFramePr>
        <xdr:cNvPr id="4" name="Gra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454269</xdr:colOff>
      <xdr:row>42</xdr:row>
      <xdr:rowOff>175845</xdr:rowOff>
    </xdr:from>
    <xdr:to>
      <xdr:col>11</xdr:col>
      <xdr:colOff>344365</xdr:colOff>
      <xdr:row>56</xdr:row>
      <xdr:rowOff>49088</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85222</xdr:colOff>
      <xdr:row>22</xdr:row>
      <xdr:rowOff>120316</xdr:rowOff>
    </xdr:from>
    <xdr:to>
      <xdr:col>5</xdr:col>
      <xdr:colOff>360946</xdr:colOff>
      <xdr:row>32</xdr:row>
      <xdr:rowOff>165934</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531393</xdr:colOff>
      <xdr:row>6</xdr:row>
      <xdr:rowOff>20053</xdr:rowOff>
    </xdr:from>
    <xdr:to>
      <xdr:col>9</xdr:col>
      <xdr:colOff>551447</xdr:colOff>
      <xdr:row>17</xdr:row>
      <xdr:rowOff>95751</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xdr:colOff>
      <xdr:row>12</xdr:row>
      <xdr:rowOff>57150</xdr:rowOff>
    </xdr:from>
    <xdr:to>
      <xdr:col>8</xdr:col>
      <xdr:colOff>200025</xdr:colOff>
      <xdr:row>31</xdr:row>
      <xdr:rowOff>42862</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17"/>
  <sheetViews>
    <sheetView workbookViewId="0">
      <selection activeCell="D32" sqref="D32"/>
    </sheetView>
  </sheetViews>
  <sheetFormatPr defaultRowHeight="15" x14ac:dyDescent="0.25"/>
  <sheetData>
    <row r="3" spans="1:18" x14ac:dyDescent="0.25">
      <c r="A3" t="s">
        <v>5</v>
      </c>
    </row>
    <row r="6" spans="1:18" x14ac:dyDescent="0.25">
      <c r="A6">
        <v>1995</v>
      </c>
      <c r="B6">
        <v>9</v>
      </c>
    </row>
    <row r="7" spans="1:18" x14ac:dyDescent="0.25">
      <c r="A7">
        <v>1996</v>
      </c>
      <c r="B7">
        <v>7</v>
      </c>
    </row>
    <row r="8" spans="1:18" x14ac:dyDescent="0.25">
      <c r="A8">
        <v>1997</v>
      </c>
      <c r="B8">
        <v>2</v>
      </c>
    </row>
    <row r="11" spans="1:18" x14ac:dyDescent="0.25">
      <c r="A11" t="s">
        <v>6</v>
      </c>
    </row>
    <row r="12" spans="1:18" s="24" customFormat="1" ht="15.75" thickBot="1" x14ac:dyDescent="0.3"/>
    <row r="15" spans="1:18" x14ac:dyDescent="0.25">
      <c r="A15" s="34" t="s">
        <v>98</v>
      </c>
      <c r="B15" s="34"/>
      <c r="C15" s="34"/>
      <c r="D15" s="34"/>
      <c r="E15" s="34"/>
      <c r="F15" s="34"/>
      <c r="G15" s="34"/>
      <c r="H15" s="34"/>
      <c r="I15" s="34"/>
      <c r="J15" s="34"/>
      <c r="K15" s="34"/>
      <c r="L15" s="34"/>
      <c r="M15" s="34"/>
      <c r="N15" s="34"/>
      <c r="O15" s="34"/>
      <c r="P15" s="34"/>
      <c r="Q15" s="34"/>
      <c r="R15" s="34"/>
    </row>
    <row r="16" spans="1:18" x14ac:dyDescent="0.25">
      <c r="A16" s="34"/>
      <c r="B16" s="34"/>
      <c r="C16" s="34"/>
      <c r="D16" s="34"/>
      <c r="E16" s="34"/>
      <c r="F16" s="34"/>
      <c r="G16" s="34"/>
      <c r="H16" s="34"/>
      <c r="I16" s="34"/>
      <c r="J16" s="34"/>
      <c r="K16" s="34"/>
      <c r="L16" s="34"/>
      <c r="M16" s="34"/>
      <c r="N16" s="34"/>
      <c r="O16" s="34"/>
      <c r="P16" s="34"/>
      <c r="Q16" s="34"/>
      <c r="R16" s="34"/>
    </row>
    <row r="17" spans="1:18" x14ac:dyDescent="0.25">
      <c r="A17" s="34"/>
      <c r="B17" s="34"/>
      <c r="C17" s="34"/>
      <c r="D17" s="34"/>
      <c r="E17" s="34"/>
      <c r="F17" s="34"/>
      <c r="G17" s="34"/>
      <c r="H17" s="34"/>
      <c r="I17" s="34"/>
      <c r="J17" s="34"/>
      <c r="K17" s="34"/>
      <c r="L17" s="34"/>
      <c r="M17" s="34"/>
      <c r="N17" s="34"/>
      <c r="O17" s="34"/>
      <c r="P17" s="34"/>
      <c r="Q17" s="34"/>
      <c r="R17" s="34"/>
    </row>
  </sheetData>
  <mergeCells count="1">
    <mergeCell ref="A15:R1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3"/>
  <sheetViews>
    <sheetView zoomScale="200" zoomScaleNormal="200" workbookViewId="0">
      <selection activeCell="D13" sqref="D13"/>
    </sheetView>
  </sheetViews>
  <sheetFormatPr defaultRowHeight="15" x14ac:dyDescent="0.25"/>
  <cols>
    <col min="1" max="1" width="10" customWidth="1"/>
    <col min="2" max="2" width="8" customWidth="1"/>
    <col min="3" max="3" width="7.5703125" customWidth="1"/>
    <col min="4" max="4" width="7.85546875" customWidth="1"/>
  </cols>
  <sheetData>
    <row r="2" spans="1:10" x14ac:dyDescent="0.25">
      <c r="A2" t="s">
        <v>0</v>
      </c>
    </row>
    <row r="3" spans="1:10" x14ac:dyDescent="0.25">
      <c r="A3" t="s">
        <v>4</v>
      </c>
    </row>
    <row r="4" spans="1:10" ht="30" x14ac:dyDescent="0.25">
      <c r="A4" s="1" t="s">
        <v>3</v>
      </c>
      <c r="B4" s="2" t="s">
        <v>1</v>
      </c>
      <c r="C4" s="2" t="s">
        <v>2</v>
      </c>
      <c r="D4" t="s">
        <v>130</v>
      </c>
    </row>
    <row r="5" spans="1:10" x14ac:dyDescent="0.25">
      <c r="A5" s="2">
        <v>0</v>
      </c>
      <c r="B5" s="2">
        <v>23</v>
      </c>
      <c r="C5" s="2">
        <v>30</v>
      </c>
      <c r="D5">
        <f>SUM(B5:C5)</f>
        <v>53</v>
      </c>
    </row>
    <row r="6" spans="1:10" x14ac:dyDescent="0.25">
      <c r="A6" s="2">
        <v>1</v>
      </c>
      <c r="B6" s="2">
        <v>11</v>
      </c>
      <c r="C6" s="2">
        <v>15</v>
      </c>
      <c r="D6" s="25">
        <f t="shared" ref="D6:D8" si="0">SUM(B6:C6)</f>
        <v>26</v>
      </c>
    </row>
    <row r="7" spans="1:10" x14ac:dyDescent="0.25">
      <c r="A7" s="2">
        <v>2</v>
      </c>
      <c r="B7" s="2">
        <v>12</v>
      </c>
      <c r="C7" s="2">
        <v>9</v>
      </c>
      <c r="D7" s="25">
        <f t="shared" si="0"/>
        <v>21</v>
      </c>
    </row>
    <row r="8" spans="1:10" x14ac:dyDescent="0.25">
      <c r="B8">
        <f>SUM(B5:B7)</f>
        <v>46</v>
      </c>
      <c r="C8" s="25">
        <f t="shared" ref="C8:D8" si="1">SUM(C5:C7)</f>
        <v>54</v>
      </c>
      <c r="D8" s="25">
        <f t="shared" si="1"/>
        <v>100</v>
      </c>
      <c r="H8" t="s">
        <v>132</v>
      </c>
    </row>
    <row r="9" spans="1:10" x14ac:dyDescent="0.25">
      <c r="A9" t="s">
        <v>131</v>
      </c>
      <c r="B9">
        <f>($A5*B5+$A6*B6+$A7*B7)/B8</f>
        <v>0.76086956521739135</v>
      </c>
      <c r="C9" s="25">
        <f t="shared" ref="C9:D9" si="2">($A5*C5+$A6*C6+$A7*C7)/C8</f>
        <v>0.61111111111111116</v>
      </c>
      <c r="D9" s="25">
        <f t="shared" si="2"/>
        <v>0.68</v>
      </c>
      <c r="H9">
        <f>SUMPRODUCT($A5:$A7,B5:B7)/B8</f>
        <v>0.76086956521739135</v>
      </c>
      <c r="I9" s="25">
        <f t="shared" ref="I9:J9" si="3">SUMPRODUCT($A5:$A7,C5:C7)/C8</f>
        <v>0.61111111111111116</v>
      </c>
      <c r="J9" s="25">
        <f t="shared" si="3"/>
        <v>0.68</v>
      </c>
    </row>
    <row r="10" spans="1:10" x14ac:dyDescent="0.25">
      <c r="A10" t="s">
        <v>133</v>
      </c>
      <c r="B10">
        <f>(($A5-B9)^2*B5+($A6-B9)^2*B6+($A7-B9)^2*B7)/B8</f>
        <v>0.70368620037807172</v>
      </c>
      <c r="C10" s="25">
        <f>(($A5-C9)^2*C5+($A6-C9)^2*C6+($A7-C9)^2*C7)/C8</f>
        <v>0.57098765432098775</v>
      </c>
      <c r="D10" s="49">
        <f>(($A5-D9)^2*D5+($A6-D9)^2*D6+($A7-D9)^2*D7)/D8</f>
        <v>0.63759999999999994</v>
      </c>
      <c r="E10" t="s">
        <v>136</v>
      </c>
    </row>
    <row r="11" spans="1:10" x14ac:dyDescent="0.25">
      <c r="A11" t="s">
        <v>134</v>
      </c>
      <c r="D11" s="50">
        <f>(B10*B8+C10*C8)/D8</f>
        <v>0.6320289855072464</v>
      </c>
      <c r="E11" s="51">
        <f>D11+D12</f>
        <v>0.63760000000000006</v>
      </c>
    </row>
    <row r="12" spans="1:10" x14ac:dyDescent="0.25">
      <c r="A12" t="s">
        <v>135</v>
      </c>
      <c r="D12" s="50">
        <f>((B9-D9)^2*B8+(C9-D9)^2*C8)/D8</f>
        <v>5.5710144927536235E-3</v>
      </c>
      <c r="E12" s="51"/>
    </row>
    <row r="13" spans="1:10" x14ac:dyDescent="0.25">
      <c r="A13" t="s">
        <v>137</v>
      </c>
      <c r="D13">
        <f>D12/D10</f>
        <v>8.7374756787227479E-3</v>
      </c>
    </row>
  </sheetData>
  <mergeCells count="1">
    <mergeCell ref="E11:E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L31" sqref="L31"/>
    </sheetView>
  </sheetViews>
  <sheetFormatPr defaultRowHeight="15" x14ac:dyDescent="0.25"/>
  <sheetData>
    <row r="1" spans="1:3" ht="15.75" thickBot="1" x14ac:dyDescent="0.3">
      <c r="A1" s="7" t="s">
        <v>15</v>
      </c>
    </row>
    <row r="2" spans="1:3" ht="15.75" thickBot="1" x14ac:dyDescent="0.3">
      <c r="A2" s="8" t="s">
        <v>16</v>
      </c>
      <c r="B2" s="9" t="s">
        <v>17</v>
      </c>
      <c r="C2" s="9" t="s">
        <v>18</v>
      </c>
    </row>
    <row r="3" spans="1:3" ht="15.75" thickBot="1" x14ac:dyDescent="0.3">
      <c r="A3" s="10" t="s">
        <v>19</v>
      </c>
      <c r="B3" s="11" t="s">
        <v>20</v>
      </c>
      <c r="C3" s="11">
        <v>18</v>
      </c>
    </row>
    <row r="4" spans="1:3" ht="30.75" thickBot="1" x14ac:dyDescent="0.3">
      <c r="A4" s="10" t="s">
        <v>21</v>
      </c>
      <c r="B4" s="11" t="s">
        <v>20</v>
      </c>
      <c r="C4" s="11">
        <v>20</v>
      </c>
    </row>
    <row r="5" spans="1:3" ht="15.75" thickBot="1" x14ac:dyDescent="0.3">
      <c r="A5" s="10" t="s">
        <v>22</v>
      </c>
      <c r="B5" s="11" t="s">
        <v>23</v>
      </c>
      <c r="C5" s="11">
        <v>21</v>
      </c>
    </row>
    <row r="6" spans="1:3" ht="15.75" thickBot="1" x14ac:dyDescent="0.3">
      <c r="A6" s="10" t="s">
        <v>24</v>
      </c>
      <c r="B6" s="11" t="s">
        <v>25</v>
      </c>
      <c r="C6" s="11">
        <v>24</v>
      </c>
    </row>
    <row r="7" spans="1:3" ht="15.75" thickBot="1" x14ac:dyDescent="0.3">
      <c r="A7" s="10" t="s">
        <v>26</v>
      </c>
      <c r="B7" s="11" t="s">
        <v>23</v>
      </c>
      <c r="C7" s="11">
        <v>22</v>
      </c>
    </row>
    <row r="8" spans="1:3" ht="15.75" thickBot="1" x14ac:dyDescent="0.3">
      <c r="A8" s="10" t="s">
        <v>27</v>
      </c>
      <c r="B8" s="11" t="s">
        <v>25</v>
      </c>
      <c r="C8" s="11">
        <v>25</v>
      </c>
    </row>
    <row r="9" spans="1:3" ht="15.75" thickBot="1" x14ac:dyDescent="0.3">
      <c r="A9" s="10" t="s">
        <v>28</v>
      </c>
      <c r="B9" s="11" t="s">
        <v>20</v>
      </c>
      <c r="C9" s="11">
        <v>26</v>
      </c>
    </row>
    <row r="10" spans="1:3" ht="15.75" thickBot="1" x14ac:dyDescent="0.3">
      <c r="A10" s="10" t="s">
        <v>29</v>
      </c>
      <c r="B10" s="11" t="s">
        <v>25</v>
      </c>
      <c r="C10" s="11">
        <v>25</v>
      </c>
    </row>
    <row r="11" spans="1:3" ht="15.75" thickBot="1" x14ac:dyDescent="0.3">
      <c r="A11" s="10"/>
      <c r="B11" s="11" t="s">
        <v>25</v>
      </c>
      <c r="C11" s="11">
        <v>25</v>
      </c>
    </row>
    <row r="12" spans="1:3" ht="15.75" thickBot="1" x14ac:dyDescent="0.3">
      <c r="A12" s="10"/>
      <c r="B12" s="11" t="s">
        <v>23</v>
      </c>
      <c r="C12" s="11">
        <v>18</v>
      </c>
    </row>
    <row r="13" spans="1:3" x14ac:dyDescent="0.25">
      <c r="A13" s="3"/>
    </row>
    <row r="14" spans="1:3" x14ac:dyDescent="0.25">
      <c r="A14" s="7" t="s">
        <v>30</v>
      </c>
    </row>
    <row r="15" spans="1:3" x14ac:dyDescent="0.25">
      <c r="A15" s="7"/>
    </row>
    <row r="16" spans="1:3" x14ac:dyDescent="0.25">
      <c r="A16" s="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K32"/>
  <sheetViews>
    <sheetView tabSelected="1" workbookViewId="0">
      <selection activeCell="M12" sqref="M12"/>
    </sheetView>
  </sheetViews>
  <sheetFormatPr defaultRowHeight="15" x14ac:dyDescent="0.25"/>
  <cols>
    <col min="9" max="9" width="40.85546875" bestFit="1" customWidth="1"/>
    <col min="12" max="12" width="14.42578125" customWidth="1"/>
    <col min="13" max="37" width="4" bestFit="1" customWidth="1"/>
  </cols>
  <sheetData>
    <row r="1" spans="3:37" x14ac:dyDescent="0.25">
      <c r="C1" t="s">
        <v>176</v>
      </c>
      <c r="D1" t="s">
        <v>172</v>
      </c>
      <c r="F1" t="s">
        <v>173</v>
      </c>
      <c r="G1" t="s">
        <v>174</v>
      </c>
      <c r="M1" s="25">
        <v>607</v>
      </c>
      <c r="N1" s="25">
        <v>549</v>
      </c>
      <c r="O1" s="25">
        <v>638</v>
      </c>
      <c r="P1" s="25">
        <v>365</v>
      </c>
      <c r="Q1" s="25">
        <v>622</v>
      </c>
      <c r="R1" s="25">
        <v>444</v>
      </c>
      <c r="S1" s="25">
        <v>593</v>
      </c>
      <c r="T1" s="25">
        <v>570</v>
      </c>
      <c r="U1" s="25">
        <v>366</v>
      </c>
      <c r="V1" s="25">
        <v>649</v>
      </c>
      <c r="W1" s="25">
        <v>450</v>
      </c>
      <c r="X1" s="25">
        <v>434</v>
      </c>
      <c r="Y1" s="25">
        <v>483</v>
      </c>
      <c r="Z1" s="25">
        <v>362</v>
      </c>
      <c r="AA1" s="25">
        <v>627</v>
      </c>
      <c r="AB1" s="25">
        <v>667</v>
      </c>
      <c r="AC1" s="25">
        <v>602</v>
      </c>
      <c r="AD1" s="25">
        <v>630</v>
      </c>
      <c r="AE1" s="25">
        <v>454</v>
      </c>
      <c r="AF1" s="25">
        <v>649</v>
      </c>
      <c r="AG1" s="25">
        <v>657</v>
      </c>
      <c r="AH1" s="25">
        <v>387</v>
      </c>
      <c r="AI1" s="25">
        <v>483</v>
      </c>
      <c r="AJ1" s="25">
        <v>593</v>
      </c>
      <c r="AK1" s="25">
        <v>607</v>
      </c>
    </row>
    <row r="2" spans="3:37" ht="23.25" x14ac:dyDescent="0.35">
      <c r="C2">
        <v>1</v>
      </c>
      <c r="D2">
        <v>607</v>
      </c>
      <c r="F2">
        <f>1/25</f>
        <v>0.04</v>
      </c>
      <c r="G2">
        <f>SUM($D$2:D2)/SUM($D$2:$D$26)</f>
        <v>4.5002965599051009E-2</v>
      </c>
      <c r="I2" s="74">
        <f>1-SUM(G2:G25)/SUM(F2:F25)</f>
        <v>9.8420818505338126E-3</v>
      </c>
      <c r="L2" s="25">
        <v>607</v>
      </c>
      <c r="N2" s="25">
        <f t="shared" ref="N2:AK12" si="0">ABS($L2-N$1)</f>
        <v>58</v>
      </c>
      <c r="O2" s="25">
        <f t="shared" si="0"/>
        <v>31</v>
      </c>
      <c r="P2" s="25">
        <f t="shared" si="0"/>
        <v>242</v>
      </c>
      <c r="Q2" s="25">
        <f t="shared" si="0"/>
        <v>15</v>
      </c>
      <c r="R2" s="25">
        <f t="shared" si="0"/>
        <v>163</v>
      </c>
      <c r="S2" s="25">
        <f t="shared" si="0"/>
        <v>14</v>
      </c>
      <c r="T2" s="25">
        <f t="shared" si="0"/>
        <v>37</v>
      </c>
      <c r="U2" s="25">
        <f t="shared" si="0"/>
        <v>241</v>
      </c>
      <c r="V2" s="25">
        <f t="shared" si="0"/>
        <v>42</v>
      </c>
      <c r="W2" s="25">
        <f t="shared" si="0"/>
        <v>157</v>
      </c>
      <c r="X2" s="25">
        <f t="shared" si="0"/>
        <v>173</v>
      </c>
      <c r="Y2" s="25">
        <f t="shared" si="0"/>
        <v>124</v>
      </c>
      <c r="Z2" s="25">
        <f t="shared" si="0"/>
        <v>245</v>
      </c>
      <c r="AA2" s="25">
        <f t="shared" si="0"/>
        <v>20</v>
      </c>
      <c r="AB2" s="25">
        <f t="shared" si="0"/>
        <v>60</v>
      </c>
      <c r="AC2" s="25">
        <f t="shared" si="0"/>
        <v>5</v>
      </c>
      <c r="AD2" s="25">
        <f t="shared" si="0"/>
        <v>23</v>
      </c>
      <c r="AE2" s="25">
        <f t="shared" si="0"/>
        <v>153</v>
      </c>
      <c r="AF2" s="25">
        <f t="shared" si="0"/>
        <v>42</v>
      </c>
      <c r="AG2" s="25">
        <f t="shared" si="0"/>
        <v>50</v>
      </c>
      <c r="AH2" s="25">
        <f t="shared" si="0"/>
        <v>220</v>
      </c>
      <c r="AI2" s="25">
        <f t="shared" si="0"/>
        <v>124</v>
      </c>
      <c r="AJ2" s="25">
        <f t="shared" si="0"/>
        <v>14</v>
      </c>
      <c r="AK2" s="25">
        <f t="shared" si="0"/>
        <v>0</v>
      </c>
    </row>
    <row r="3" spans="3:37" x14ac:dyDescent="0.25">
      <c r="C3">
        <v>2</v>
      </c>
      <c r="D3" s="25">
        <v>549</v>
      </c>
      <c r="F3">
        <f>1/25+F2</f>
        <v>0.08</v>
      </c>
      <c r="G3" s="25">
        <f>SUM($D$2:D3)/SUM($D$2:$D$26)</f>
        <v>8.5705812574139978E-2</v>
      </c>
      <c r="I3" t="s">
        <v>180</v>
      </c>
      <c r="L3" s="25">
        <v>549</v>
      </c>
      <c r="M3" s="25">
        <f t="shared" ref="M3:AB26" si="1">ABS($L3-M$1)</f>
        <v>58</v>
      </c>
      <c r="N3" s="25"/>
      <c r="O3" s="25">
        <f t="shared" si="0"/>
        <v>89</v>
      </c>
      <c r="P3" s="25">
        <f t="shared" si="0"/>
        <v>184</v>
      </c>
      <c r="Q3" s="25">
        <f t="shared" si="0"/>
        <v>73</v>
      </c>
      <c r="R3" s="25">
        <f t="shared" si="0"/>
        <v>105</v>
      </c>
      <c r="S3" s="25">
        <f t="shared" si="0"/>
        <v>44</v>
      </c>
      <c r="T3" s="25">
        <f t="shared" si="0"/>
        <v>21</v>
      </c>
      <c r="U3" s="25">
        <f t="shared" si="0"/>
        <v>183</v>
      </c>
      <c r="V3" s="25">
        <f t="shared" si="0"/>
        <v>100</v>
      </c>
      <c r="W3" s="25">
        <f t="shared" si="0"/>
        <v>99</v>
      </c>
      <c r="X3" s="25">
        <f t="shared" si="0"/>
        <v>115</v>
      </c>
      <c r="Y3" s="25">
        <f t="shared" si="0"/>
        <v>66</v>
      </c>
      <c r="Z3" s="25">
        <f t="shared" si="0"/>
        <v>187</v>
      </c>
      <c r="AA3" s="25">
        <f t="shared" si="0"/>
        <v>78</v>
      </c>
      <c r="AB3" s="25">
        <f t="shared" si="0"/>
        <v>118</v>
      </c>
      <c r="AC3" s="25">
        <f t="shared" si="0"/>
        <v>53</v>
      </c>
      <c r="AD3" s="25">
        <f t="shared" si="0"/>
        <v>81</v>
      </c>
      <c r="AE3" s="25">
        <f t="shared" si="0"/>
        <v>95</v>
      </c>
      <c r="AF3" s="25">
        <f t="shared" si="0"/>
        <v>100</v>
      </c>
      <c r="AG3" s="25">
        <f t="shared" si="0"/>
        <v>108</v>
      </c>
      <c r="AH3" s="25">
        <f t="shared" si="0"/>
        <v>162</v>
      </c>
      <c r="AI3" s="25">
        <f t="shared" si="0"/>
        <v>66</v>
      </c>
      <c r="AJ3" s="25">
        <f t="shared" si="0"/>
        <v>44</v>
      </c>
      <c r="AK3" s="25">
        <f t="shared" si="0"/>
        <v>58</v>
      </c>
    </row>
    <row r="4" spans="3:37" x14ac:dyDescent="0.25">
      <c r="C4">
        <v>3</v>
      </c>
      <c r="D4" s="25">
        <v>638</v>
      </c>
      <c r="F4" s="25">
        <f t="shared" ref="F4:F26" si="2">1/25+F3</f>
        <v>0.12</v>
      </c>
      <c r="G4" s="25">
        <f>SUM($D$2:D4)/SUM($D$2:$D$26)</f>
        <v>0.13300711743772242</v>
      </c>
      <c r="L4" s="25">
        <v>638</v>
      </c>
      <c r="M4" s="25">
        <f t="shared" si="1"/>
        <v>31</v>
      </c>
      <c r="N4" s="25">
        <f t="shared" si="0"/>
        <v>89</v>
      </c>
      <c r="O4" s="25"/>
      <c r="P4" s="25">
        <f t="shared" si="0"/>
        <v>273</v>
      </c>
      <c r="Q4" s="25">
        <f t="shared" si="0"/>
        <v>16</v>
      </c>
      <c r="R4" s="25">
        <f t="shared" si="0"/>
        <v>194</v>
      </c>
      <c r="S4" s="25">
        <f t="shared" si="0"/>
        <v>45</v>
      </c>
      <c r="T4" s="25">
        <f t="shared" si="0"/>
        <v>68</v>
      </c>
      <c r="U4" s="25">
        <f t="shared" si="0"/>
        <v>272</v>
      </c>
      <c r="V4" s="25">
        <f t="shared" si="0"/>
        <v>11</v>
      </c>
      <c r="W4" s="25">
        <f t="shared" si="0"/>
        <v>188</v>
      </c>
      <c r="X4" s="25">
        <f t="shared" si="0"/>
        <v>204</v>
      </c>
      <c r="Y4" s="25">
        <f t="shared" si="0"/>
        <v>155</v>
      </c>
      <c r="Z4" s="25">
        <f t="shared" si="0"/>
        <v>276</v>
      </c>
      <c r="AA4" s="25">
        <f t="shared" si="0"/>
        <v>11</v>
      </c>
      <c r="AB4" s="25">
        <f t="shared" si="0"/>
        <v>29</v>
      </c>
      <c r="AC4" s="25">
        <f t="shared" si="0"/>
        <v>36</v>
      </c>
      <c r="AD4" s="25">
        <f t="shared" si="0"/>
        <v>8</v>
      </c>
      <c r="AE4" s="25">
        <f t="shared" si="0"/>
        <v>184</v>
      </c>
      <c r="AF4" s="25">
        <f t="shared" si="0"/>
        <v>11</v>
      </c>
      <c r="AG4" s="25">
        <f t="shared" si="0"/>
        <v>19</v>
      </c>
      <c r="AH4" s="25">
        <f t="shared" si="0"/>
        <v>251</v>
      </c>
      <c r="AI4" s="25">
        <f t="shared" si="0"/>
        <v>155</v>
      </c>
      <c r="AJ4" s="25">
        <f t="shared" si="0"/>
        <v>45</v>
      </c>
      <c r="AK4" s="25">
        <f t="shared" si="0"/>
        <v>31</v>
      </c>
    </row>
    <row r="5" spans="3:37" x14ac:dyDescent="0.25">
      <c r="C5" s="25">
        <v>4</v>
      </c>
      <c r="D5" s="25">
        <v>365</v>
      </c>
      <c r="F5" s="25">
        <f t="shared" si="2"/>
        <v>0.16</v>
      </c>
      <c r="G5" s="25">
        <f>SUM($D$2:D5)/SUM($D$2:$D$26)</f>
        <v>0.16006820877817318</v>
      </c>
      <c r="L5" s="25">
        <v>365</v>
      </c>
      <c r="M5" s="25">
        <f t="shared" si="1"/>
        <v>242</v>
      </c>
      <c r="N5" s="25">
        <f t="shared" si="0"/>
        <v>184</v>
      </c>
      <c r="O5" s="25">
        <f t="shared" si="0"/>
        <v>273</v>
      </c>
      <c r="P5" s="25"/>
      <c r="Q5" s="25">
        <f t="shared" si="0"/>
        <v>257</v>
      </c>
      <c r="R5" s="25">
        <f t="shared" si="0"/>
        <v>79</v>
      </c>
      <c r="S5" s="25">
        <f t="shared" si="0"/>
        <v>228</v>
      </c>
      <c r="T5" s="25">
        <f t="shared" si="0"/>
        <v>205</v>
      </c>
      <c r="U5" s="25">
        <f t="shared" si="0"/>
        <v>1</v>
      </c>
      <c r="V5" s="25">
        <f t="shared" si="0"/>
        <v>284</v>
      </c>
      <c r="W5" s="25">
        <f t="shared" si="0"/>
        <v>85</v>
      </c>
      <c r="X5" s="25">
        <f t="shared" si="0"/>
        <v>69</v>
      </c>
      <c r="Y5" s="25">
        <f t="shared" si="0"/>
        <v>118</v>
      </c>
      <c r="Z5" s="25">
        <f t="shared" si="0"/>
        <v>3</v>
      </c>
      <c r="AA5" s="25">
        <f t="shared" si="0"/>
        <v>262</v>
      </c>
      <c r="AB5" s="25">
        <f t="shared" si="0"/>
        <v>302</v>
      </c>
      <c r="AC5" s="25">
        <f t="shared" si="0"/>
        <v>237</v>
      </c>
      <c r="AD5" s="25">
        <f t="shared" si="0"/>
        <v>265</v>
      </c>
      <c r="AE5" s="25">
        <f t="shared" si="0"/>
        <v>89</v>
      </c>
      <c r="AF5" s="25">
        <f t="shared" si="0"/>
        <v>284</v>
      </c>
      <c r="AG5" s="25">
        <f t="shared" si="0"/>
        <v>292</v>
      </c>
      <c r="AH5" s="25">
        <f t="shared" si="0"/>
        <v>22</v>
      </c>
      <c r="AI5" s="25">
        <f t="shared" si="0"/>
        <v>118</v>
      </c>
      <c r="AJ5" s="25">
        <f t="shared" si="0"/>
        <v>228</v>
      </c>
      <c r="AK5" s="25">
        <f t="shared" si="0"/>
        <v>242</v>
      </c>
    </row>
    <row r="6" spans="3:37" x14ac:dyDescent="0.25">
      <c r="C6" s="25">
        <v>5</v>
      </c>
      <c r="D6" s="25">
        <v>622</v>
      </c>
      <c r="F6" s="25">
        <f t="shared" si="2"/>
        <v>0.2</v>
      </c>
      <c r="G6" s="25">
        <f>SUM($D$2:D6)/SUM($D$2:$D$26)</f>
        <v>0.20618327402135231</v>
      </c>
      <c r="L6" s="25">
        <v>622</v>
      </c>
      <c r="M6" s="25">
        <f t="shared" si="1"/>
        <v>15</v>
      </c>
      <c r="N6" s="25">
        <f t="shared" si="0"/>
        <v>73</v>
      </c>
      <c r="O6" s="25">
        <f t="shared" si="0"/>
        <v>16</v>
      </c>
      <c r="P6" s="25">
        <f t="shared" si="0"/>
        <v>257</v>
      </c>
      <c r="Q6" s="25"/>
      <c r="R6" s="25">
        <f t="shared" si="0"/>
        <v>178</v>
      </c>
      <c r="S6" s="25">
        <f t="shared" si="0"/>
        <v>29</v>
      </c>
      <c r="T6" s="25">
        <f t="shared" si="0"/>
        <v>52</v>
      </c>
      <c r="U6" s="25">
        <f t="shared" si="0"/>
        <v>256</v>
      </c>
      <c r="V6" s="25">
        <f t="shared" si="0"/>
        <v>27</v>
      </c>
      <c r="W6" s="25">
        <f t="shared" si="0"/>
        <v>172</v>
      </c>
      <c r="X6" s="25">
        <f t="shared" si="0"/>
        <v>188</v>
      </c>
      <c r="Y6" s="25">
        <f t="shared" si="0"/>
        <v>139</v>
      </c>
      <c r="Z6" s="25">
        <f t="shared" si="0"/>
        <v>260</v>
      </c>
      <c r="AA6" s="25">
        <f t="shared" si="0"/>
        <v>5</v>
      </c>
      <c r="AB6" s="25">
        <f t="shared" si="0"/>
        <v>45</v>
      </c>
      <c r="AC6" s="25">
        <f t="shared" si="0"/>
        <v>20</v>
      </c>
      <c r="AD6" s="25">
        <f t="shared" si="0"/>
        <v>8</v>
      </c>
      <c r="AE6" s="25">
        <f t="shared" si="0"/>
        <v>168</v>
      </c>
      <c r="AF6" s="25">
        <f t="shared" si="0"/>
        <v>27</v>
      </c>
      <c r="AG6" s="25">
        <f t="shared" si="0"/>
        <v>35</v>
      </c>
      <c r="AH6" s="25">
        <f t="shared" si="0"/>
        <v>235</v>
      </c>
      <c r="AI6" s="25">
        <f t="shared" si="0"/>
        <v>139</v>
      </c>
      <c r="AJ6" s="25">
        <f t="shared" si="0"/>
        <v>29</v>
      </c>
      <c r="AK6" s="25">
        <f t="shared" si="0"/>
        <v>15</v>
      </c>
    </row>
    <row r="7" spans="3:37" x14ac:dyDescent="0.25">
      <c r="C7" s="25">
        <v>6</v>
      </c>
      <c r="D7" s="25">
        <v>444</v>
      </c>
      <c r="F7" s="25">
        <f t="shared" si="2"/>
        <v>0.24000000000000002</v>
      </c>
      <c r="G7" s="25">
        <f>SUM($D$2:D7)/SUM($D$2:$D$26)</f>
        <v>0.23910142348754448</v>
      </c>
      <c r="L7" s="25">
        <v>444</v>
      </c>
      <c r="M7" s="25">
        <f t="shared" si="1"/>
        <v>163</v>
      </c>
      <c r="N7" s="25">
        <f t="shared" si="0"/>
        <v>105</v>
      </c>
      <c r="O7" s="25">
        <f t="shared" si="0"/>
        <v>194</v>
      </c>
      <c r="P7" s="25">
        <f t="shared" si="0"/>
        <v>79</v>
      </c>
      <c r="Q7" s="25">
        <f t="shared" si="0"/>
        <v>178</v>
      </c>
      <c r="R7" s="25"/>
      <c r="S7" s="25">
        <f t="shared" si="0"/>
        <v>149</v>
      </c>
      <c r="T7" s="25">
        <f t="shared" si="0"/>
        <v>126</v>
      </c>
      <c r="U7" s="25">
        <f t="shared" si="0"/>
        <v>78</v>
      </c>
      <c r="V7" s="25">
        <f t="shared" si="0"/>
        <v>205</v>
      </c>
      <c r="W7" s="25">
        <f t="shared" si="0"/>
        <v>6</v>
      </c>
      <c r="X7" s="25">
        <f t="shared" si="0"/>
        <v>10</v>
      </c>
      <c r="Y7" s="25">
        <f t="shared" si="0"/>
        <v>39</v>
      </c>
      <c r="Z7" s="25">
        <f t="shared" si="0"/>
        <v>82</v>
      </c>
      <c r="AA7" s="25">
        <f t="shared" si="0"/>
        <v>183</v>
      </c>
      <c r="AB7" s="25">
        <f t="shared" si="0"/>
        <v>223</v>
      </c>
      <c r="AC7" s="25">
        <f t="shared" si="0"/>
        <v>158</v>
      </c>
      <c r="AD7" s="25">
        <f t="shared" si="0"/>
        <v>186</v>
      </c>
      <c r="AE7" s="25">
        <f t="shared" si="0"/>
        <v>10</v>
      </c>
      <c r="AF7" s="25">
        <f t="shared" si="0"/>
        <v>205</v>
      </c>
      <c r="AG7" s="25">
        <f t="shared" si="0"/>
        <v>213</v>
      </c>
      <c r="AH7" s="25">
        <f t="shared" si="0"/>
        <v>57</v>
      </c>
      <c r="AI7" s="25">
        <f t="shared" si="0"/>
        <v>39</v>
      </c>
      <c r="AJ7" s="25">
        <f t="shared" si="0"/>
        <v>149</v>
      </c>
      <c r="AK7" s="25">
        <f t="shared" si="0"/>
        <v>163</v>
      </c>
    </row>
    <row r="8" spans="3:37" x14ac:dyDescent="0.25">
      <c r="C8" s="25">
        <v>7</v>
      </c>
      <c r="D8" s="25">
        <v>593</v>
      </c>
      <c r="F8" s="25">
        <f t="shared" si="2"/>
        <v>0.28000000000000003</v>
      </c>
      <c r="G8" s="25">
        <f>SUM($D$2:D8)/SUM($D$2:$D$26)</f>
        <v>0.2830664294187426</v>
      </c>
      <c r="L8" s="25">
        <v>593</v>
      </c>
      <c r="M8" s="25">
        <f t="shared" si="1"/>
        <v>14</v>
      </c>
      <c r="N8" s="25">
        <f t="shared" si="0"/>
        <v>44</v>
      </c>
      <c r="O8" s="25">
        <f t="shared" si="0"/>
        <v>45</v>
      </c>
      <c r="P8" s="25">
        <f t="shared" si="0"/>
        <v>228</v>
      </c>
      <c r="Q8" s="25">
        <f t="shared" si="0"/>
        <v>29</v>
      </c>
      <c r="R8" s="25">
        <f t="shared" si="0"/>
        <v>149</v>
      </c>
      <c r="S8" s="25"/>
      <c r="T8" s="25">
        <f t="shared" si="0"/>
        <v>23</v>
      </c>
      <c r="U8" s="25">
        <f t="shared" si="0"/>
        <v>227</v>
      </c>
      <c r="V8" s="25">
        <f t="shared" si="0"/>
        <v>56</v>
      </c>
      <c r="W8" s="25">
        <f t="shared" si="0"/>
        <v>143</v>
      </c>
      <c r="X8" s="25">
        <f t="shared" si="0"/>
        <v>159</v>
      </c>
      <c r="Y8" s="25">
        <f t="shared" si="0"/>
        <v>110</v>
      </c>
      <c r="Z8" s="25">
        <f t="shared" si="0"/>
        <v>231</v>
      </c>
      <c r="AA8" s="25">
        <f t="shared" si="0"/>
        <v>34</v>
      </c>
      <c r="AB8" s="25">
        <f t="shared" si="0"/>
        <v>74</v>
      </c>
      <c r="AC8" s="25">
        <f t="shared" si="0"/>
        <v>9</v>
      </c>
      <c r="AD8" s="25">
        <f t="shared" si="0"/>
        <v>37</v>
      </c>
      <c r="AE8" s="25">
        <f t="shared" si="0"/>
        <v>139</v>
      </c>
      <c r="AF8" s="25">
        <f t="shared" si="0"/>
        <v>56</v>
      </c>
      <c r="AG8" s="25">
        <f t="shared" si="0"/>
        <v>64</v>
      </c>
      <c r="AH8" s="25">
        <f t="shared" si="0"/>
        <v>206</v>
      </c>
      <c r="AI8" s="25">
        <f t="shared" si="0"/>
        <v>110</v>
      </c>
      <c r="AJ8" s="25">
        <f t="shared" si="0"/>
        <v>0</v>
      </c>
      <c r="AK8" s="25">
        <f t="shared" si="0"/>
        <v>14</v>
      </c>
    </row>
    <row r="9" spans="3:37" x14ac:dyDescent="0.25">
      <c r="C9" s="25">
        <v>8</v>
      </c>
      <c r="D9" s="25">
        <v>570</v>
      </c>
      <c r="F9" s="25">
        <f t="shared" si="2"/>
        <v>0.32</v>
      </c>
      <c r="G9" s="25">
        <f>SUM($D$2:D9)/SUM($D$2:$D$26)</f>
        <v>0.32532621589561089</v>
      </c>
      <c r="L9" s="25">
        <v>570</v>
      </c>
      <c r="M9" s="25">
        <f t="shared" si="1"/>
        <v>37</v>
      </c>
      <c r="N9" s="25">
        <f t="shared" si="0"/>
        <v>21</v>
      </c>
      <c r="O9" s="25">
        <f t="shared" si="0"/>
        <v>68</v>
      </c>
      <c r="P9" s="25">
        <f t="shared" si="0"/>
        <v>205</v>
      </c>
      <c r="Q9" s="25">
        <f t="shared" si="0"/>
        <v>52</v>
      </c>
      <c r="R9" s="25">
        <f t="shared" si="0"/>
        <v>126</v>
      </c>
      <c r="S9" s="25">
        <f t="shared" si="0"/>
        <v>23</v>
      </c>
      <c r="T9" s="25"/>
      <c r="U9" s="25">
        <f t="shared" si="0"/>
        <v>204</v>
      </c>
      <c r="V9" s="25">
        <f t="shared" si="0"/>
        <v>79</v>
      </c>
      <c r="W9" s="25">
        <f t="shared" si="0"/>
        <v>120</v>
      </c>
      <c r="X9" s="25">
        <f t="shared" si="0"/>
        <v>136</v>
      </c>
      <c r="Y9" s="25">
        <f t="shared" si="0"/>
        <v>87</v>
      </c>
      <c r="Z9" s="25">
        <f t="shared" si="0"/>
        <v>208</v>
      </c>
      <c r="AA9" s="25">
        <f t="shared" si="0"/>
        <v>57</v>
      </c>
      <c r="AB9" s="25">
        <f t="shared" si="0"/>
        <v>97</v>
      </c>
      <c r="AC9" s="25">
        <f t="shared" si="0"/>
        <v>32</v>
      </c>
      <c r="AD9" s="25">
        <f t="shared" si="0"/>
        <v>60</v>
      </c>
      <c r="AE9" s="25">
        <f t="shared" si="0"/>
        <v>116</v>
      </c>
      <c r="AF9" s="25">
        <f t="shared" si="0"/>
        <v>79</v>
      </c>
      <c r="AG9" s="25">
        <f t="shared" si="0"/>
        <v>87</v>
      </c>
      <c r="AH9" s="25">
        <f t="shared" si="0"/>
        <v>183</v>
      </c>
      <c r="AI9" s="25">
        <f t="shared" si="0"/>
        <v>87</v>
      </c>
      <c r="AJ9" s="25">
        <f t="shared" si="0"/>
        <v>23</v>
      </c>
      <c r="AK9" s="25">
        <f t="shared" si="0"/>
        <v>37</v>
      </c>
    </row>
    <row r="10" spans="3:37" x14ac:dyDescent="0.25">
      <c r="C10" s="25">
        <v>9</v>
      </c>
      <c r="D10" s="25">
        <v>366</v>
      </c>
      <c r="F10" s="25">
        <f t="shared" si="2"/>
        <v>0.36</v>
      </c>
      <c r="G10" s="25">
        <f>SUM($D$2:D10)/SUM($D$2:$D$26)</f>
        <v>0.35246144721233691</v>
      </c>
      <c r="L10" s="25">
        <v>366</v>
      </c>
      <c r="M10" s="25">
        <f t="shared" si="1"/>
        <v>241</v>
      </c>
      <c r="N10" s="25">
        <f t="shared" si="0"/>
        <v>183</v>
      </c>
      <c r="O10" s="25">
        <f t="shared" si="0"/>
        <v>272</v>
      </c>
      <c r="P10" s="25">
        <f t="shared" si="0"/>
        <v>1</v>
      </c>
      <c r="Q10" s="25">
        <f t="shared" si="0"/>
        <v>256</v>
      </c>
      <c r="R10" s="25">
        <f t="shared" si="0"/>
        <v>78</v>
      </c>
      <c r="S10" s="25">
        <f t="shared" si="0"/>
        <v>227</v>
      </c>
      <c r="T10" s="25">
        <f t="shared" si="0"/>
        <v>204</v>
      </c>
      <c r="U10" s="25"/>
      <c r="V10" s="25">
        <f t="shared" si="0"/>
        <v>283</v>
      </c>
      <c r="W10" s="25">
        <f t="shared" si="0"/>
        <v>84</v>
      </c>
      <c r="X10" s="25">
        <f t="shared" si="0"/>
        <v>68</v>
      </c>
      <c r="Y10" s="25">
        <f t="shared" si="0"/>
        <v>117</v>
      </c>
      <c r="Z10" s="25">
        <f t="shared" si="0"/>
        <v>4</v>
      </c>
      <c r="AA10" s="25">
        <f t="shared" si="0"/>
        <v>261</v>
      </c>
      <c r="AB10" s="25">
        <f t="shared" si="0"/>
        <v>301</v>
      </c>
      <c r="AC10" s="25">
        <f t="shared" si="0"/>
        <v>236</v>
      </c>
      <c r="AD10" s="25">
        <f t="shared" si="0"/>
        <v>264</v>
      </c>
      <c r="AE10" s="25">
        <f t="shared" si="0"/>
        <v>88</v>
      </c>
      <c r="AF10" s="25">
        <f t="shared" si="0"/>
        <v>283</v>
      </c>
      <c r="AG10" s="25">
        <f t="shared" si="0"/>
        <v>291</v>
      </c>
      <c r="AH10" s="25">
        <f t="shared" si="0"/>
        <v>21</v>
      </c>
      <c r="AI10" s="25">
        <f t="shared" si="0"/>
        <v>117</v>
      </c>
      <c r="AJ10" s="25">
        <f t="shared" si="0"/>
        <v>227</v>
      </c>
      <c r="AK10" s="25">
        <f t="shared" si="0"/>
        <v>241</v>
      </c>
    </row>
    <row r="11" spans="3:37" x14ac:dyDescent="0.25">
      <c r="C11" s="25">
        <v>10</v>
      </c>
      <c r="D11" s="25">
        <v>649</v>
      </c>
      <c r="F11" s="25">
        <f t="shared" si="2"/>
        <v>0.39999999999999997</v>
      </c>
      <c r="G11" s="25">
        <f>SUM($D$2:D11)/SUM($D$2:$D$26)</f>
        <v>0.40057829181494664</v>
      </c>
      <c r="L11" s="25">
        <v>649</v>
      </c>
      <c r="M11" s="25">
        <f t="shared" si="1"/>
        <v>42</v>
      </c>
      <c r="N11" s="25">
        <f t="shared" si="0"/>
        <v>100</v>
      </c>
      <c r="O11" s="25">
        <f t="shared" si="0"/>
        <v>11</v>
      </c>
      <c r="P11" s="25">
        <f t="shared" si="0"/>
        <v>284</v>
      </c>
      <c r="Q11" s="25">
        <f t="shared" si="0"/>
        <v>27</v>
      </c>
      <c r="R11" s="25">
        <f t="shared" si="0"/>
        <v>205</v>
      </c>
      <c r="S11" s="25">
        <f t="shared" si="0"/>
        <v>56</v>
      </c>
      <c r="T11" s="25">
        <f t="shared" si="0"/>
        <v>79</v>
      </c>
      <c r="U11" s="25">
        <f t="shared" si="0"/>
        <v>283</v>
      </c>
      <c r="V11" s="25"/>
      <c r="W11" s="25">
        <f t="shared" si="0"/>
        <v>199</v>
      </c>
      <c r="X11" s="25">
        <f t="shared" si="0"/>
        <v>215</v>
      </c>
      <c r="Y11" s="25">
        <f t="shared" si="0"/>
        <v>166</v>
      </c>
      <c r="Z11" s="25">
        <f t="shared" si="0"/>
        <v>287</v>
      </c>
      <c r="AA11" s="25">
        <f t="shared" si="0"/>
        <v>22</v>
      </c>
      <c r="AB11" s="25">
        <f t="shared" si="0"/>
        <v>18</v>
      </c>
      <c r="AC11" s="25">
        <f t="shared" si="0"/>
        <v>47</v>
      </c>
      <c r="AD11" s="25">
        <f t="shared" si="0"/>
        <v>19</v>
      </c>
      <c r="AE11" s="25">
        <f t="shared" si="0"/>
        <v>195</v>
      </c>
      <c r="AF11" s="25">
        <f t="shared" si="0"/>
        <v>0</v>
      </c>
      <c r="AG11" s="25">
        <f t="shared" si="0"/>
        <v>8</v>
      </c>
      <c r="AH11" s="25">
        <f t="shared" si="0"/>
        <v>262</v>
      </c>
      <c r="AI11" s="25">
        <f t="shared" si="0"/>
        <v>166</v>
      </c>
      <c r="AJ11" s="25">
        <f t="shared" si="0"/>
        <v>56</v>
      </c>
      <c r="AK11" s="25">
        <f t="shared" si="0"/>
        <v>42</v>
      </c>
    </row>
    <row r="12" spans="3:37" x14ac:dyDescent="0.25">
      <c r="C12" s="25">
        <v>11</v>
      </c>
      <c r="D12" s="25">
        <v>450</v>
      </c>
      <c r="F12" s="25">
        <f t="shared" si="2"/>
        <v>0.43999999999999995</v>
      </c>
      <c r="G12" s="25">
        <f>SUM($D$2:D12)/SUM($D$2:$D$26)</f>
        <v>0.43394128113879005</v>
      </c>
      <c r="L12" s="25">
        <v>450</v>
      </c>
      <c r="M12" s="25">
        <f t="shared" si="1"/>
        <v>157</v>
      </c>
      <c r="N12" s="25">
        <f t="shared" si="0"/>
        <v>99</v>
      </c>
      <c r="O12" s="25">
        <f t="shared" si="0"/>
        <v>188</v>
      </c>
      <c r="P12" s="25">
        <f t="shared" si="0"/>
        <v>85</v>
      </c>
      <c r="Q12" s="25">
        <f t="shared" si="0"/>
        <v>172</v>
      </c>
      <c r="R12" s="25">
        <f t="shared" si="0"/>
        <v>6</v>
      </c>
      <c r="S12" s="25">
        <f t="shared" si="0"/>
        <v>143</v>
      </c>
      <c r="T12" s="25">
        <f t="shared" si="0"/>
        <v>120</v>
      </c>
      <c r="U12" s="25">
        <f t="shared" si="0"/>
        <v>84</v>
      </c>
      <c r="V12" s="25">
        <f t="shared" si="0"/>
        <v>199</v>
      </c>
      <c r="W12" s="25"/>
      <c r="X12" s="25">
        <f t="shared" si="0"/>
        <v>16</v>
      </c>
      <c r="Y12" s="25">
        <f t="shared" si="0"/>
        <v>33</v>
      </c>
      <c r="Z12" s="25">
        <f t="shared" si="0"/>
        <v>88</v>
      </c>
      <c r="AA12" s="25">
        <f t="shared" si="0"/>
        <v>177</v>
      </c>
      <c r="AB12" s="25">
        <f t="shared" si="0"/>
        <v>217</v>
      </c>
      <c r="AC12" s="25">
        <f t="shared" ref="AC12:AK26" si="3">ABS($L12-AC$1)</f>
        <v>152</v>
      </c>
      <c r="AD12" s="25">
        <f t="shared" si="3"/>
        <v>180</v>
      </c>
      <c r="AE12" s="25">
        <f t="shared" si="3"/>
        <v>4</v>
      </c>
      <c r="AF12" s="25">
        <f t="shared" si="3"/>
        <v>199</v>
      </c>
      <c r="AG12" s="25">
        <f t="shared" si="3"/>
        <v>207</v>
      </c>
      <c r="AH12" s="25">
        <f t="shared" si="3"/>
        <v>63</v>
      </c>
      <c r="AI12" s="25">
        <f t="shared" si="3"/>
        <v>33</v>
      </c>
      <c r="AJ12" s="25">
        <f t="shared" si="3"/>
        <v>143</v>
      </c>
      <c r="AK12" s="25">
        <f t="shared" si="3"/>
        <v>157</v>
      </c>
    </row>
    <row r="13" spans="3:37" x14ac:dyDescent="0.25">
      <c r="C13" s="25">
        <v>12</v>
      </c>
      <c r="D13" s="25">
        <v>434</v>
      </c>
      <c r="F13" s="25">
        <f t="shared" si="2"/>
        <v>0.47999999999999993</v>
      </c>
      <c r="G13" s="25">
        <f>SUM($D$2:D13)/SUM($D$2:$D$26)</f>
        <v>0.46611803084223014</v>
      </c>
      <c r="L13" s="25">
        <v>434</v>
      </c>
      <c r="M13" s="25">
        <f t="shared" si="1"/>
        <v>173</v>
      </c>
      <c r="N13" s="25">
        <f t="shared" si="1"/>
        <v>115</v>
      </c>
      <c r="O13" s="25">
        <f t="shared" si="1"/>
        <v>204</v>
      </c>
      <c r="P13" s="25">
        <f t="shared" si="1"/>
        <v>69</v>
      </c>
      <c r="Q13" s="25">
        <f t="shared" si="1"/>
        <v>188</v>
      </c>
      <c r="R13" s="25">
        <f t="shared" si="1"/>
        <v>10</v>
      </c>
      <c r="S13" s="25">
        <f t="shared" si="1"/>
        <v>159</v>
      </c>
      <c r="T13" s="25">
        <f t="shared" si="1"/>
        <v>136</v>
      </c>
      <c r="U13" s="25">
        <f t="shared" si="1"/>
        <v>68</v>
      </c>
      <c r="V13" s="25">
        <f t="shared" si="1"/>
        <v>215</v>
      </c>
      <c r="W13" s="25">
        <f t="shared" si="1"/>
        <v>16</v>
      </c>
      <c r="X13" s="25"/>
      <c r="Y13" s="25">
        <f t="shared" si="1"/>
        <v>49</v>
      </c>
      <c r="Z13" s="25">
        <f t="shared" si="1"/>
        <v>72</v>
      </c>
      <c r="AA13" s="25">
        <f t="shared" si="1"/>
        <v>193</v>
      </c>
      <c r="AB13" s="25">
        <f t="shared" si="1"/>
        <v>233</v>
      </c>
      <c r="AC13" s="25">
        <f t="shared" si="3"/>
        <v>168</v>
      </c>
      <c r="AD13" s="25">
        <f t="shared" si="3"/>
        <v>196</v>
      </c>
      <c r="AE13" s="25">
        <f t="shared" si="3"/>
        <v>20</v>
      </c>
      <c r="AF13" s="25">
        <f t="shared" si="3"/>
        <v>215</v>
      </c>
      <c r="AG13" s="25">
        <f t="shared" si="3"/>
        <v>223</v>
      </c>
      <c r="AH13" s="25">
        <f t="shared" si="3"/>
        <v>47</v>
      </c>
      <c r="AI13" s="25">
        <f t="shared" si="3"/>
        <v>49</v>
      </c>
      <c r="AJ13" s="25">
        <f t="shared" si="3"/>
        <v>159</v>
      </c>
      <c r="AK13" s="25">
        <f t="shared" si="3"/>
        <v>173</v>
      </c>
    </row>
    <row r="14" spans="3:37" x14ac:dyDescent="0.25">
      <c r="C14" s="25">
        <v>13</v>
      </c>
      <c r="D14" s="25">
        <v>483</v>
      </c>
      <c r="F14" s="25">
        <f t="shared" si="2"/>
        <v>0.51999999999999991</v>
      </c>
      <c r="G14" s="25">
        <f>SUM($D$2:D14)/SUM($D$2:$D$26)</f>
        <v>0.50192763938315543</v>
      </c>
      <c r="L14" s="25">
        <v>483</v>
      </c>
      <c r="M14" s="25">
        <f t="shared" si="1"/>
        <v>124</v>
      </c>
      <c r="N14" s="25">
        <f t="shared" si="1"/>
        <v>66</v>
      </c>
      <c r="O14" s="25">
        <f t="shared" si="1"/>
        <v>155</v>
      </c>
      <c r="P14" s="25">
        <f t="shared" si="1"/>
        <v>118</v>
      </c>
      <c r="Q14" s="25">
        <f t="shared" si="1"/>
        <v>139</v>
      </c>
      <c r="R14" s="25">
        <f t="shared" si="1"/>
        <v>39</v>
      </c>
      <c r="S14" s="25">
        <f t="shared" si="1"/>
        <v>110</v>
      </c>
      <c r="T14" s="25">
        <f t="shared" si="1"/>
        <v>87</v>
      </c>
      <c r="U14" s="25">
        <f t="shared" si="1"/>
        <v>117</v>
      </c>
      <c r="V14" s="25">
        <f t="shared" si="1"/>
        <v>166</v>
      </c>
      <c r="W14" s="25">
        <f t="shared" si="1"/>
        <v>33</v>
      </c>
      <c r="X14" s="25">
        <f t="shared" si="1"/>
        <v>49</v>
      </c>
      <c r="Y14" s="25"/>
      <c r="Z14" s="25">
        <f t="shared" si="1"/>
        <v>121</v>
      </c>
      <c r="AA14" s="25">
        <f t="shared" si="1"/>
        <v>144</v>
      </c>
      <c r="AB14" s="25">
        <f t="shared" si="1"/>
        <v>184</v>
      </c>
      <c r="AC14" s="25">
        <f t="shared" si="3"/>
        <v>119</v>
      </c>
      <c r="AD14" s="25">
        <f t="shared" si="3"/>
        <v>147</v>
      </c>
      <c r="AE14" s="25">
        <f t="shared" si="3"/>
        <v>29</v>
      </c>
      <c r="AF14" s="25">
        <f t="shared" si="3"/>
        <v>166</v>
      </c>
      <c r="AG14" s="25">
        <f t="shared" si="3"/>
        <v>174</v>
      </c>
      <c r="AH14" s="25">
        <f t="shared" si="3"/>
        <v>96</v>
      </c>
      <c r="AI14" s="25">
        <f t="shared" si="3"/>
        <v>0</v>
      </c>
      <c r="AJ14" s="25">
        <f t="shared" si="3"/>
        <v>110</v>
      </c>
      <c r="AK14" s="25">
        <f t="shared" si="3"/>
        <v>124</v>
      </c>
    </row>
    <row r="15" spans="3:37" x14ac:dyDescent="0.25">
      <c r="C15" s="25">
        <v>14</v>
      </c>
      <c r="D15" s="25">
        <v>362</v>
      </c>
      <c r="F15" s="25">
        <f t="shared" si="2"/>
        <v>0.55999999999999994</v>
      </c>
      <c r="G15" s="25">
        <f>SUM($D$2:D15)/SUM($D$2:$D$26)</f>
        <v>0.52876631079478054</v>
      </c>
      <c r="L15" s="25">
        <v>362</v>
      </c>
      <c r="M15" s="25">
        <f t="shared" si="1"/>
        <v>245</v>
      </c>
      <c r="N15" s="25">
        <f t="shared" si="1"/>
        <v>187</v>
      </c>
      <c r="O15" s="25">
        <f t="shared" si="1"/>
        <v>276</v>
      </c>
      <c r="P15" s="25">
        <f t="shared" si="1"/>
        <v>3</v>
      </c>
      <c r="Q15" s="25">
        <f t="shared" si="1"/>
        <v>260</v>
      </c>
      <c r="R15" s="25">
        <f t="shared" si="1"/>
        <v>82</v>
      </c>
      <c r="S15" s="25">
        <f t="shared" si="1"/>
        <v>231</v>
      </c>
      <c r="T15" s="25">
        <f t="shared" si="1"/>
        <v>208</v>
      </c>
      <c r="U15" s="25">
        <f t="shared" si="1"/>
        <v>4</v>
      </c>
      <c r="V15" s="25">
        <f t="shared" si="1"/>
        <v>287</v>
      </c>
      <c r="W15" s="25">
        <f t="shared" si="1"/>
        <v>88</v>
      </c>
      <c r="X15" s="25">
        <f t="shared" si="1"/>
        <v>72</v>
      </c>
      <c r="Y15" s="25">
        <f t="shared" si="1"/>
        <v>121</v>
      </c>
      <c r="Z15" s="25"/>
      <c r="AA15" s="25">
        <f t="shared" si="1"/>
        <v>265</v>
      </c>
      <c r="AB15" s="25">
        <f t="shared" si="1"/>
        <v>305</v>
      </c>
      <c r="AC15" s="25">
        <f t="shared" si="3"/>
        <v>240</v>
      </c>
      <c r="AD15" s="25">
        <f t="shared" si="3"/>
        <v>268</v>
      </c>
      <c r="AE15" s="25">
        <f t="shared" si="3"/>
        <v>92</v>
      </c>
      <c r="AF15" s="25">
        <f t="shared" si="3"/>
        <v>287</v>
      </c>
      <c r="AG15" s="25">
        <f t="shared" si="3"/>
        <v>295</v>
      </c>
      <c r="AH15" s="25">
        <f t="shared" si="3"/>
        <v>25</v>
      </c>
      <c r="AI15" s="25">
        <f t="shared" si="3"/>
        <v>121</v>
      </c>
      <c r="AJ15" s="25">
        <f t="shared" si="3"/>
        <v>231</v>
      </c>
      <c r="AK15" s="25">
        <f t="shared" si="3"/>
        <v>245</v>
      </c>
    </row>
    <row r="16" spans="3:37" x14ac:dyDescent="0.25">
      <c r="C16" s="25">
        <v>15</v>
      </c>
      <c r="D16" s="25">
        <v>627</v>
      </c>
      <c r="F16" s="25">
        <f t="shared" si="2"/>
        <v>0.6</v>
      </c>
      <c r="G16" s="25">
        <f>SUM($D$2:D16)/SUM($D$2:$D$26)</f>
        <v>0.57525207591933569</v>
      </c>
      <c r="L16" s="25">
        <v>627</v>
      </c>
      <c r="M16" s="25">
        <f t="shared" si="1"/>
        <v>20</v>
      </c>
      <c r="N16" s="25">
        <f t="shared" si="1"/>
        <v>78</v>
      </c>
      <c r="O16" s="25">
        <f t="shared" si="1"/>
        <v>11</v>
      </c>
      <c r="P16" s="25">
        <f t="shared" si="1"/>
        <v>262</v>
      </c>
      <c r="Q16" s="25">
        <f t="shared" si="1"/>
        <v>5</v>
      </c>
      <c r="R16" s="25">
        <f t="shared" si="1"/>
        <v>183</v>
      </c>
      <c r="S16" s="25">
        <f t="shared" si="1"/>
        <v>34</v>
      </c>
      <c r="T16" s="25">
        <f t="shared" si="1"/>
        <v>57</v>
      </c>
      <c r="U16" s="25">
        <f t="shared" si="1"/>
        <v>261</v>
      </c>
      <c r="V16" s="25">
        <f t="shared" si="1"/>
        <v>22</v>
      </c>
      <c r="W16" s="25">
        <f t="shared" si="1"/>
        <v>177</v>
      </c>
      <c r="X16" s="25">
        <f t="shared" si="1"/>
        <v>193</v>
      </c>
      <c r="Y16" s="25">
        <f t="shared" si="1"/>
        <v>144</v>
      </c>
      <c r="Z16" s="25">
        <f t="shared" si="1"/>
        <v>265</v>
      </c>
      <c r="AA16" s="25"/>
      <c r="AB16" s="25">
        <f t="shared" si="1"/>
        <v>40</v>
      </c>
      <c r="AC16" s="25">
        <f t="shared" si="3"/>
        <v>25</v>
      </c>
      <c r="AD16" s="25">
        <f t="shared" si="3"/>
        <v>3</v>
      </c>
      <c r="AE16" s="25">
        <f t="shared" si="3"/>
        <v>173</v>
      </c>
      <c r="AF16" s="25">
        <f t="shared" si="3"/>
        <v>22</v>
      </c>
      <c r="AG16" s="25">
        <f t="shared" si="3"/>
        <v>30</v>
      </c>
      <c r="AH16" s="25">
        <f t="shared" si="3"/>
        <v>240</v>
      </c>
      <c r="AI16" s="25">
        <f t="shared" si="3"/>
        <v>144</v>
      </c>
      <c r="AJ16" s="25">
        <f t="shared" si="3"/>
        <v>34</v>
      </c>
      <c r="AK16" s="25">
        <f t="shared" si="3"/>
        <v>20</v>
      </c>
    </row>
    <row r="17" spans="3:37" x14ac:dyDescent="0.25">
      <c r="C17" s="25">
        <v>16</v>
      </c>
      <c r="D17" s="25">
        <v>667</v>
      </c>
      <c r="F17" s="25">
        <f t="shared" si="2"/>
        <v>0.64</v>
      </c>
      <c r="G17" s="25">
        <f>SUM($D$2:D17)/SUM($D$2:$D$26)</f>
        <v>0.6247034400948992</v>
      </c>
      <c r="L17" s="25">
        <v>667</v>
      </c>
      <c r="M17" s="25">
        <f t="shared" si="1"/>
        <v>60</v>
      </c>
      <c r="N17" s="25">
        <f t="shared" si="1"/>
        <v>118</v>
      </c>
      <c r="O17" s="25">
        <f t="shared" si="1"/>
        <v>29</v>
      </c>
      <c r="P17" s="25">
        <f t="shared" si="1"/>
        <v>302</v>
      </c>
      <c r="Q17" s="25">
        <f t="shared" si="1"/>
        <v>45</v>
      </c>
      <c r="R17" s="25">
        <f t="shared" si="1"/>
        <v>223</v>
      </c>
      <c r="S17" s="25">
        <f t="shared" si="1"/>
        <v>74</v>
      </c>
      <c r="T17" s="25">
        <f t="shared" si="1"/>
        <v>97</v>
      </c>
      <c r="U17" s="25">
        <f t="shared" si="1"/>
        <v>301</v>
      </c>
      <c r="V17" s="25">
        <f t="shared" si="1"/>
        <v>18</v>
      </c>
      <c r="W17" s="25">
        <f t="shared" si="1"/>
        <v>217</v>
      </c>
      <c r="X17" s="25">
        <f t="shared" si="1"/>
        <v>233</v>
      </c>
      <c r="Y17" s="25">
        <f t="shared" si="1"/>
        <v>184</v>
      </c>
      <c r="Z17" s="25">
        <f t="shared" si="1"/>
        <v>305</v>
      </c>
      <c r="AA17" s="25">
        <f t="shared" si="1"/>
        <v>40</v>
      </c>
      <c r="AB17" s="25"/>
      <c r="AC17" s="25">
        <f t="shared" si="3"/>
        <v>65</v>
      </c>
      <c r="AD17" s="25">
        <f t="shared" si="3"/>
        <v>37</v>
      </c>
      <c r="AE17" s="25">
        <f t="shared" si="3"/>
        <v>213</v>
      </c>
      <c r="AF17" s="25">
        <f t="shared" si="3"/>
        <v>18</v>
      </c>
      <c r="AG17" s="25">
        <f t="shared" si="3"/>
        <v>10</v>
      </c>
      <c r="AH17" s="25">
        <f t="shared" si="3"/>
        <v>280</v>
      </c>
      <c r="AI17" s="25">
        <f t="shared" si="3"/>
        <v>184</v>
      </c>
      <c r="AJ17" s="25">
        <f t="shared" si="3"/>
        <v>74</v>
      </c>
      <c r="AK17" s="25">
        <f t="shared" si="3"/>
        <v>60</v>
      </c>
    </row>
    <row r="18" spans="3:37" x14ac:dyDescent="0.25">
      <c r="C18" s="25">
        <v>17</v>
      </c>
      <c r="D18" s="25">
        <v>602</v>
      </c>
      <c r="F18" s="25">
        <f t="shared" si="2"/>
        <v>0.68</v>
      </c>
      <c r="G18" s="25">
        <f>SUM($D$2:D18)/SUM($D$2:$D$26)</f>
        <v>0.66933570581257418</v>
      </c>
      <c r="L18" s="25">
        <v>602</v>
      </c>
      <c r="M18" s="25">
        <f t="shared" si="1"/>
        <v>5</v>
      </c>
      <c r="N18" s="25">
        <f t="shared" si="1"/>
        <v>53</v>
      </c>
      <c r="O18" s="25">
        <f t="shared" si="1"/>
        <v>36</v>
      </c>
      <c r="P18" s="25">
        <f t="shared" si="1"/>
        <v>237</v>
      </c>
      <c r="Q18" s="25">
        <f t="shared" si="1"/>
        <v>20</v>
      </c>
      <c r="R18" s="25">
        <f t="shared" si="1"/>
        <v>158</v>
      </c>
      <c r="S18" s="25">
        <f t="shared" si="1"/>
        <v>9</v>
      </c>
      <c r="T18" s="25">
        <f t="shared" si="1"/>
        <v>32</v>
      </c>
      <c r="U18" s="25">
        <f t="shared" si="1"/>
        <v>236</v>
      </c>
      <c r="V18" s="25">
        <f t="shared" si="1"/>
        <v>47</v>
      </c>
      <c r="W18" s="25">
        <f t="shared" si="1"/>
        <v>152</v>
      </c>
      <c r="X18" s="25">
        <f t="shared" si="1"/>
        <v>168</v>
      </c>
      <c r="Y18" s="25">
        <f t="shared" si="1"/>
        <v>119</v>
      </c>
      <c r="Z18" s="25">
        <f t="shared" si="1"/>
        <v>240</v>
      </c>
      <c r="AA18" s="25">
        <f t="shared" si="1"/>
        <v>25</v>
      </c>
      <c r="AB18" s="25">
        <f t="shared" si="1"/>
        <v>65</v>
      </c>
      <c r="AC18" s="25"/>
      <c r="AD18" s="25">
        <f t="shared" si="3"/>
        <v>28</v>
      </c>
      <c r="AE18" s="25">
        <f t="shared" si="3"/>
        <v>148</v>
      </c>
      <c r="AF18" s="25">
        <f t="shared" si="3"/>
        <v>47</v>
      </c>
      <c r="AG18" s="25">
        <f t="shared" si="3"/>
        <v>55</v>
      </c>
      <c r="AH18" s="25">
        <f t="shared" si="3"/>
        <v>215</v>
      </c>
      <c r="AI18" s="25">
        <f t="shared" si="3"/>
        <v>119</v>
      </c>
      <c r="AJ18" s="25">
        <f t="shared" si="3"/>
        <v>9</v>
      </c>
      <c r="AK18" s="25">
        <f t="shared" si="3"/>
        <v>5</v>
      </c>
    </row>
    <row r="19" spans="3:37" x14ac:dyDescent="0.25">
      <c r="C19" s="25">
        <v>18</v>
      </c>
      <c r="D19" s="25">
        <v>630</v>
      </c>
      <c r="F19" s="25">
        <f t="shared" si="2"/>
        <v>0.72000000000000008</v>
      </c>
      <c r="G19" s="25">
        <f>SUM($D$2:D19)/SUM($D$2:$D$26)</f>
        <v>0.71604389086595488</v>
      </c>
      <c r="L19" s="25">
        <v>630</v>
      </c>
      <c r="M19" s="25">
        <f t="shared" si="1"/>
        <v>23</v>
      </c>
      <c r="N19" s="25">
        <f t="shared" si="1"/>
        <v>81</v>
      </c>
      <c r="O19" s="25">
        <f t="shared" si="1"/>
        <v>8</v>
      </c>
      <c r="P19" s="25">
        <f t="shared" si="1"/>
        <v>265</v>
      </c>
      <c r="Q19" s="25">
        <f t="shared" si="1"/>
        <v>8</v>
      </c>
      <c r="R19" s="25">
        <f t="shared" si="1"/>
        <v>186</v>
      </c>
      <c r="S19" s="25">
        <f t="shared" si="1"/>
        <v>37</v>
      </c>
      <c r="T19" s="25">
        <f t="shared" si="1"/>
        <v>60</v>
      </c>
      <c r="U19" s="25">
        <f t="shared" si="1"/>
        <v>264</v>
      </c>
      <c r="V19" s="25">
        <f t="shared" si="1"/>
        <v>19</v>
      </c>
      <c r="W19" s="25">
        <f t="shared" si="1"/>
        <v>180</v>
      </c>
      <c r="X19" s="25">
        <f t="shared" si="1"/>
        <v>196</v>
      </c>
      <c r="Y19" s="25">
        <f t="shared" si="1"/>
        <v>147</v>
      </c>
      <c r="Z19" s="25">
        <f t="shared" si="1"/>
        <v>268</v>
      </c>
      <c r="AA19" s="25">
        <f t="shared" si="1"/>
        <v>3</v>
      </c>
      <c r="AB19" s="25">
        <f t="shared" si="1"/>
        <v>37</v>
      </c>
      <c r="AC19" s="25">
        <f t="shared" si="3"/>
        <v>28</v>
      </c>
      <c r="AD19" s="25"/>
      <c r="AE19" s="25">
        <f t="shared" si="3"/>
        <v>176</v>
      </c>
      <c r="AF19" s="25">
        <f t="shared" si="3"/>
        <v>19</v>
      </c>
      <c r="AG19" s="25">
        <f t="shared" si="3"/>
        <v>27</v>
      </c>
      <c r="AH19" s="25">
        <f t="shared" si="3"/>
        <v>243</v>
      </c>
      <c r="AI19" s="25">
        <f t="shared" si="3"/>
        <v>147</v>
      </c>
      <c r="AJ19" s="25">
        <f t="shared" si="3"/>
        <v>37</v>
      </c>
      <c r="AK19" s="25">
        <f t="shared" si="3"/>
        <v>23</v>
      </c>
    </row>
    <row r="20" spans="3:37" x14ac:dyDescent="0.25">
      <c r="C20" s="25">
        <v>19</v>
      </c>
      <c r="D20" s="25">
        <v>454</v>
      </c>
      <c r="F20" s="25">
        <f t="shared" si="2"/>
        <v>0.76000000000000012</v>
      </c>
      <c r="G20" s="25">
        <f>SUM($D$2:D20)/SUM($D$2:$D$26)</f>
        <v>0.7497034400948992</v>
      </c>
      <c r="L20" s="25">
        <v>454</v>
      </c>
      <c r="M20" s="25">
        <f t="shared" si="1"/>
        <v>153</v>
      </c>
      <c r="N20" s="25">
        <f t="shared" si="1"/>
        <v>95</v>
      </c>
      <c r="O20" s="25">
        <f t="shared" si="1"/>
        <v>184</v>
      </c>
      <c r="P20" s="25">
        <f t="shared" si="1"/>
        <v>89</v>
      </c>
      <c r="Q20" s="25">
        <f t="shared" si="1"/>
        <v>168</v>
      </c>
      <c r="R20" s="25">
        <f t="shared" si="1"/>
        <v>10</v>
      </c>
      <c r="S20" s="25">
        <f t="shared" si="1"/>
        <v>139</v>
      </c>
      <c r="T20" s="25">
        <f t="shared" si="1"/>
        <v>116</v>
      </c>
      <c r="U20" s="25">
        <f t="shared" si="1"/>
        <v>88</v>
      </c>
      <c r="V20" s="25">
        <f t="shared" si="1"/>
        <v>195</v>
      </c>
      <c r="W20" s="25">
        <f t="shared" si="1"/>
        <v>4</v>
      </c>
      <c r="X20" s="25">
        <f t="shared" si="1"/>
        <v>20</v>
      </c>
      <c r="Y20" s="25">
        <f t="shared" si="1"/>
        <v>29</v>
      </c>
      <c r="Z20" s="25">
        <f t="shared" si="1"/>
        <v>92</v>
      </c>
      <c r="AA20" s="25">
        <f t="shared" si="1"/>
        <v>173</v>
      </c>
      <c r="AB20" s="25">
        <f t="shared" si="1"/>
        <v>213</v>
      </c>
      <c r="AC20" s="25">
        <f t="shared" si="3"/>
        <v>148</v>
      </c>
      <c r="AD20" s="25">
        <f t="shared" si="3"/>
        <v>176</v>
      </c>
      <c r="AE20" s="25"/>
      <c r="AF20" s="25">
        <f t="shared" si="3"/>
        <v>195</v>
      </c>
      <c r="AG20" s="25">
        <f t="shared" si="3"/>
        <v>203</v>
      </c>
      <c r="AH20" s="25">
        <f t="shared" si="3"/>
        <v>67</v>
      </c>
      <c r="AI20" s="25">
        <f t="shared" si="3"/>
        <v>29</v>
      </c>
      <c r="AJ20" s="25">
        <f t="shared" si="3"/>
        <v>139</v>
      </c>
      <c r="AK20" s="25">
        <f t="shared" si="3"/>
        <v>153</v>
      </c>
    </row>
    <row r="21" spans="3:37" x14ac:dyDescent="0.25">
      <c r="C21" s="25">
        <v>20</v>
      </c>
      <c r="D21" s="25">
        <v>649</v>
      </c>
      <c r="F21" s="25">
        <f t="shared" si="2"/>
        <v>0.80000000000000016</v>
      </c>
      <c r="G21" s="25">
        <f>SUM($D$2:D21)/SUM($D$2:$D$26)</f>
        <v>0.79782028469750887</v>
      </c>
      <c r="L21" s="25">
        <v>649</v>
      </c>
      <c r="M21" s="25">
        <f t="shared" si="1"/>
        <v>42</v>
      </c>
      <c r="N21" s="25">
        <f t="shared" si="1"/>
        <v>100</v>
      </c>
      <c r="O21" s="25">
        <f t="shared" si="1"/>
        <v>11</v>
      </c>
      <c r="P21" s="25">
        <f t="shared" si="1"/>
        <v>284</v>
      </c>
      <c r="Q21" s="25">
        <f t="shared" si="1"/>
        <v>27</v>
      </c>
      <c r="R21" s="25">
        <f t="shared" si="1"/>
        <v>205</v>
      </c>
      <c r="S21" s="25">
        <f t="shared" si="1"/>
        <v>56</v>
      </c>
      <c r="T21" s="25">
        <f t="shared" si="1"/>
        <v>79</v>
      </c>
      <c r="U21" s="25">
        <f t="shared" si="1"/>
        <v>283</v>
      </c>
      <c r="V21" s="25">
        <f t="shared" si="1"/>
        <v>0</v>
      </c>
      <c r="W21" s="25">
        <f t="shared" si="1"/>
        <v>199</v>
      </c>
      <c r="X21" s="25">
        <f t="shared" si="1"/>
        <v>215</v>
      </c>
      <c r="Y21" s="25">
        <f t="shared" si="1"/>
        <v>166</v>
      </c>
      <c r="Z21" s="25">
        <f t="shared" si="1"/>
        <v>287</v>
      </c>
      <c r="AA21" s="25">
        <f t="shared" si="1"/>
        <v>22</v>
      </c>
      <c r="AB21" s="25">
        <f t="shared" si="1"/>
        <v>18</v>
      </c>
      <c r="AC21" s="25">
        <f t="shared" si="3"/>
        <v>47</v>
      </c>
      <c r="AD21" s="25">
        <f t="shared" si="3"/>
        <v>19</v>
      </c>
      <c r="AE21" s="25">
        <f t="shared" si="3"/>
        <v>195</v>
      </c>
      <c r="AF21" s="25"/>
      <c r="AG21" s="25">
        <f t="shared" si="3"/>
        <v>8</v>
      </c>
      <c r="AH21" s="25">
        <f t="shared" si="3"/>
        <v>262</v>
      </c>
      <c r="AI21" s="25">
        <f t="shared" si="3"/>
        <v>166</v>
      </c>
      <c r="AJ21" s="25">
        <f t="shared" si="3"/>
        <v>56</v>
      </c>
      <c r="AK21" s="25">
        <f t="shared" si="3"/>
        <v>42</v>
      </c>
    </row>
    <row r="22" spans="3:37" x14ac:dyDescent="0.25">
      <c r="C22" s="25">
        <v>21</v>
      </c>
      <c r="D22" s="25">
        <v>657</v>
      </c>
      <c r="F22" s="25">
        <f t="shared" si="2"/>
        <v>0.84000000000000019</v>
      </c>
      <c r="G22" s="25">
        <f>SUM($D$2:D22)/SUM($D$2:$D$26)</f>
        <v>0.84653024911032027</v>
      </c>
      <c r="L22" s="25">
        <v>657</v>
      </c>
      <c r="M22" s="25">
        <f t="shared" si="1"/>
        <v>50</v>
      </c>
      <c r="N22" s="25">
        <f t="shared" si="1"/>
        <v>108</v>
      </c>
      <c r="O22" s="25">
        <f t="shared" si="1"/>
        <v>19</v>
      </c>
      <c r="P22" s="25">
        <f t="shared" si="1"/>
        <v>292</v>
      </c>
      <c r="Q22" s="25">
        <f t="shared" si="1"/>
        <v>35</v>
      </c>
      <c r="R22" s="25">
        <f t="shared" si="1"/>
        <v>213</v>
      </c>
      <c r="S22" s="25">
        <f t="shared" si="1"/>
        <v>64</v>
      </c>
      <c r="T22" s="25">
        <f t="shared" si="1"/>
        <v>87</v>
      </c>
      <c r="U22" s="25">
        <f t="shared" si="1"/>
        <v>291</v>
      </c>
      <c r="V22" s="25">
        <f t="shared" si="1"/>
        <v>8</v>
      </c>
      <c r="W22" s="25">
        <f t="shared" si="1"/>
        <v>207</v>
      </c>
      <c r="X22" s="25">
        <f t="shared" si="1"/>
        <v>223</v>
      </c>
      <c r="Y22" s="25">
        <f t="shared" si="1"/>
        <v>174</v>
      </c>
      <c r="Z22" s="25">
        <f t="shared" si="1"/>
        <v>295</v>
      </c>
      <c r="AA22" s="25">
        <f t="shared" si="1"/>
        <v>30</v>
      </c>
      <c r="AB22" s="25">
        <f t="shared" si="1"/>
        <v>10</v>
      </c>
      <c r="AC22" s="25">
        <f t="shared" si="3"/>
        <v>55</v>
      </c>
      <c r="AD22" s="25">
        <f t="shared" si="3"/>
        <v>27</v>
      </c>
      <c r="AE22" s="25">
        <f t="shared" si="3"/>
        <v>203</v>
      </c>
      <c r="AF22" s="25">
        <f t="shared" si="3"/>
        <v>8</v>
      </c>
      <c r="AG22" s="25"/>
      <c r="AH22" s="25">
        <f t="shared" si="3"/>
        <v>270</v>
      </c>
      <c r="AI22" s="25">
        <f t="shared" si="3"/>
        <v>174</v>
      </c>
      <c r="AJ22" s="25">
        <f t="shared" si="3"/>
        <v>64</v>
      </c>
      <c r="AK22" s="25">
        <f t="shared" si="3"/>
        <v>50</v>
      </c>
    </row>
    <row r="23" spans="3:37" x14ac:dyDescent="0.25">
      <c r="C23" s="25">
        <v>22</v>
      </c>
      <c r="D23" s="25">
        <v>387</v>
      </c>
      <c r="F23" s="25">
        <f t="shared" si="2"/>
        <v>0.88000000000000023</v>
      </c>
      <c r="G23" s="25">
        <f>SUM($D$2:D23)/SUM($D$2:$D$26)</f>
        <v>0.87522241992882566</v>
      </c>
      <c r="L23" s="25">
        <v>387</v>
      </c>
      <c r="M23" s="25">
        <f t="shared" si="1"/>
        <v>220</v>
      </c>
      <c r="N23" s="25">
        <f t="shared" si="1"/>
        <v>162</v>
      </c>
      <c r="O23" s="25">
        <f t="shared" si="1"/>
        <v>251</v>
      </c>
      <c r="P23" s="25">
        <f t="shared" si="1"/>
        <v>22</v>
      </c>
      <c r="Q23" s="25">
        <f t="shared" si="1"/>
        <v>235</v>
      </c>
      <c r="R23" s="25">
        <f t="shared" si="1"/>
        <v>57</v>
      </c>
      <c r="S23" s="25">
        <f t="shared" si="1"/>
        <v>206</v>
      </c>
      <c r="T23" s="25">
        <f t="shared" si="1"/>
        <v>183</v>
      </c>
      <c r="U23" s="25">
        <f t="shared" si="1"/>
        <v>21</v>
      </c>
      <c r="V23" s="25">
        <f t="shared" si="1"/>
        <v>262</v>
      </c>
      <c r="W23" s="25">
        <f t="shared" si="1"/>
        <v>63</v>
      </c>
      <c r="X23" s="25">
        <f t="shared" si="1"/>
        <v>47</v>
      </c>
      <c r="Y23" s="25">
        <f t="shared" si="1"/>
        <v>96</v>
      </c>
      <c r="Z23" s="25">
        <f t="shared" si="1"/>
        <v>25</v>
      </c>
      <c r="AA23" s="25">
        <f t="shared" si="1"/>
        <v>240</v>
      </c>
      <c r="AB23" s="25">
        <f t="shared" si="1"/>
        <v>280</v>
      </c>
      <c r="AC23" s="25">
        <f t="shared" si="3"/>
        <v>215</v>
      </c>
      <c r="AD23" s="25">
        <f t="shared" si="3"/>
        <v>243</v>
      </c>
      <c r="AE23" s="25">
        <f t="shared" si="3"/>
        <v>67</v>
      </c>
      <c r="AF23" s="25">
        <f t="shared" si="3"/>
        <v>262</v>
      </c>
      <c r="AG23" s="25">
        <f t="shared" si="3"/>
        <v>270</v>
      </c>
      <c r="AH23" s="25"/>
      <c r="AI23" s="25">
        <f t="shared" si="3"/>
        <v>96</v>
      </c>
      <c r="AJ23" s="25">
        <f t="shared" si="3"/>
        <v>206</v>
      </c>
      <c r="AK23" s="25">
        <f t="shared" si="3"/>
        <v>220</v>
      </c>
    </row>
    <row r="24" spans="3:37" x14ac:dyDescent="0.25">
      <c r="C24" s="25">
        <v>23</v>
      </c>
      <c r="D24" s="25">
        <v>483</v>
      </c>
      <c r="F24" s="25">
        <f t="shared" si="2"/>
        <v>0.92000000000000026</v>
      </c>
      <c r="G24" s="25">
        <f>SUM($D$2:D24)/SUM($D$2:$D$26)</f>
        <v>0.91103202846975084</v>
      </c>
      <c r="L24" s="25">
        <v>483</v>
      </c>
      <c r="M24" s="25">
        <f t="shared" si="1"/>
        <v>124</v>
      </c>
      <c r="N24" s="25">
        <f t="shared" si="1"/>
        <v>66</v>
      </c>
      <c r="O24" s="25">
        <f t="shared" si="1"/>
        <v>155</v>
      </c>
      <c r="P24" s="25">
        <f t="shared" si="1"/>
        <v>118</v>
      </c>
      <c r="Q24" s="25">
        <f t="shared" si="1"/>
        <v>139</v>
      </c>
      <c r="R24" s="25">
        <f t="shared" si="1"/>
        <v>39</v>
      </c>
      <c r="S24" s="25">
        <f t="shared" si="1"/>
        <v>110</v>
      </c>
      <c r="T24" s="25">
        <f t="shared" si="1"/>
        <v>87</v>
      </c>
      <c r="U24" s="25">
        <f t="shared" si="1"/>
        <v>117</v>
      </c>
      <c r="V24" s="25">
        <f t="shared" si="1"/>
        <v>166</v>
      </c>
      <c r="W24" s="25">
        <f t="shared" si="1"/>
        <v>33</v>
      </c>
      <c r="X24" s="25">
        <f t="shared" si="1"/>
        <v>49</v>
      </c>
      <c r="Y24" s="25">
        <f t="shared" si="1"/>
        <v>0</v>
      </c>
      <c r="Z24" s="25">
        <f t="shared" si="1"/>
        <v>121</v>
      </c>
      <c r="AA24" s="25">
        <f t="shared" si="1"/>
        <v>144</v>
      </c>
      <c r="AB24" s="25">
        <f t="shared" si="1"/>
        <v>184</v>
      </c>
      <c r="AC24" s="25">
        <f t="shared" si="3"/>
        <v>119</v>
      </c>
      <c r="AD24" s="25">
        <f t="shared" si="3"/>
        <v>147</v>
      </c>
      <c r="AE24" s="25">
        <f t="shared" si="3"/>
        <v>29</v>
      </c>
      <c r="AF24" s="25">
        <f t="shared" si="3"/>
        <v>166</v>
      </c>
      <c r="AG24" s="25">
        <f t="shared" si="3"/>
        <v>174</v>
      </c>
      <c r="AH24" s="25">
        <f t="shared" si="3"/>
        <v>96</v>
      </c>
      <c r="AI24" s="25"/>
      <c r="AJ24" s="25">
        <f t="shared" si="3"/>
        <v>110</v>
      </c>
      <c r="AK24" s="25">
        <f t="shared" si="3"/>
        <v>124</v>
      </c>
    </row>
    <row r="25" spans="3:37" x14ac:dyDescent="0.25">
      <c r="C25" s="25">
        <v>24</v>
      </c>
      <c r="D25" s="25">
        <v>593</v>
      </c>
      <c r="F25" s="25">
        <f t="shared" si="2"/>
        <v>0.9600000000000003</v>
      </c>
      <c r="G25" s="25">
        <f>SUM($D$2:D25)/SUM($D$2:$D$26)</f>
        <v>0.95499703440094896</v>
      </c>
      <c r="L25" s="25">
        <v>593</v>
      </c>
      <c r="M25" s="25">
        <f t="shared" si="1"/>
        <v>14</v>
      </c>
      <c r="N25" s="25">
        <f t="shared" si="1"/>
        <v>44</v>
      </c>
      <c r="O25" s="25">
        <f t="shared" si="1"/>
        <v>45</v>
      </c>
      <c r="P25" s="25">
        <f t="shared" si="1"/>
        <v>228</v>
      </c>
      <c r="Q25" s="25">
        <f t="shared" si="1"/>
        <v>29</v>
      </c>
      <c r="R25" s="25">
        <f t="shared" si="1"/>
        <v>149</v>
      </c>
      <c r="S25" s="25">
        <f t="shared" si="1"/>
        <v>0</v>
      </c>
      <c r="T25" s="25">
        <f t="shared" si="1"/>
        <v>23</v>
      </c>
      <c r="U25" s="25">
        <f t="shared" si="1"/>
        <v>227</v>
      </c>
      <c r="V25" s="25">
        <f t="shared" si="1"/>
        <v>56</v>
      </c>
      <c r="W25" s="25">
        <f t="shared" si="1"/>
        <v>143</v>
      </c>
      <c r="X25" s="25">
        <f t="shared" si="1"/>
        <v>159</v>
      </c>
      <c r="Y25" s="25">
        <f t="shared" si="1"/>
        <v>110</v>
      </c>
      <c r="Z25" s="25">
        <f t="shared" si="1"/>
        <v>231</v>
      </c>
      <c r="AA25" s="25">
        <f t="shared" si="1"/>
        <v>34</v>
      </c>
      <c r="AB25" s="25">
        <f t="shared" si="1"/>
        <v>74</v>
      </c>
      <c r="AC25" s="25">
        <f t="shared" si="3"/>
        <v>9</v>
      </c>
      <c r="AD25" s="25">
        <f t="shared" si="3"/>
        <v>37</v>
      </c>
      <c r="AE25" s="25">
        <f t="shared" si="3"/>
        <v>139</v>
      </c>
      <c r="AF25" s="25">
        <f t="shared" si="3"/>
        <v>56</v>
      </c>
      <c r="AG25" s="25">
        <f t="shared" si="3"/>
        <v>64</v>
      </c>
      <c r="AH25" s="25">
        <f t="shared" si="3"/>
        <v>206</v>
      </c>
      <c r="AI25" s="25">
        <f t="shared" si="3"/>
        <v>110</v>
      </c>
      <c r="AJ25" s="25"/>
      <c r="AK25" s="25">
        <f t="shared" si="3"/>
        <v>14</v>
      </c>
    </row>
    <row r="26" spans="3:37" x14ac:dyDescent="0.25">
      <c r="C26" s="25">
        <v>25</v>
      </c>
      <c r="D26" s="25">
        <v>607</v>
      </c>
      <c r="F26" s="25">
        <f t="shared" si="2"/>
        <v>1.0000000000000002</v>
      </c>
      <c r="G26" s="25">
        <f>SUM($D$2:D26)/SUM($D$2:$D$26)</f>
        <v>1</v>
      </c>
      <c r="L26" s="25">
        <v>607</v>
      </c>
      <c r="M26" s="25">
        <f t="shared" si="1"/>
        <v>0</v>
      </c>
      <c r="N26" s="25">
        <f t="shared" si="1"/>
        <v>58</v>
      </c>
      <c r="O26" s="25">
        <f t="shared" si="1"/>
        <v>31</v>
      </c>
      <c r="P26" s="25">
        <f t="shared" si="1"/>
        <v>242</v>
      </c>
      <c r="Q26" s="25">
        <f t="shared" si="1"/>
        <v>15</v>
      </c>
      <c r="R26" s="25">
        <f t="shared" si="1"/>
        <v>163</v>
      </c>
      <c r="S26" s="25">
        <f t="shared" si="1"/>
        <v>14</v>
      </c>
      <c r="T26" s="25">
        <f t="shared" si="1"/>
        <v>37</v>
      </c>
      <c r="U26" s="25">
        <f t="shared" si="1"/>
        <v>241</v>
      </c>
      <c r="V26" s="25">
        <f t="shared" si="1"/>
        <v>42</v>
      </c>
      <c r="W26" s="25">
        <f t="shared" si="1"/>
        <v>157</v>
      </c>
      <c r="X26" s="25">
        <f t="shared" si="1"/>
        <v>173</v>
      </c>
      <c r="Y26" s="25">
        <f t="shared" si="1"/>
        <v>124</v>
      </c>
      <c r="Z26" s="25">
        <f t="shared" si="1"/>
        <v>245</v>
      </c>
      <c r="AA26" s="25">
        <f t="shared" si="1"/>
        <v>20</v>
      </c>
      <c r="AB26" s="25">
        <f t="shared" si="1"/>
        <v>60</v>
      </c>
      <c r="AC26" s="25">
        <f t="shared" si="3"/>
        <v>5</v>
      </c>
      <c r="AD26" s="25">
        <f t="shared" si="3"/>
        <v>23</v>
      </c>
      <c r="AE26" s="25">
        <f t="shared" si="3"/>
        <v>153</v>
      </c>
      <c r="AF26" s="25">
        <f t="shared" si="3"/>
        <v>42</v>
      </c>
      <c r="AG26" s="25">
        <f t="shared" si="3"/>
        <v>50</v>
      </c>
      <c r="AH26" s="25">
        <f t="shared" si="3"/>
        <v>220</v>
      </c>
      <c r="AI26" s="25">
        <f t="shared" si="3"/>
        <v>124</v>
      </c>
      <c r="AJ26" s="25">
        <f t="shared" si="3"/>
        <v>14</v>
      </c>
      <c r="AK26" s="25"/>
    </row>
    <row r="28" spans="3:37" ht="23.25" x14ac:dyDescent="0.35">
      <c r="K28" t="s">
        <v>177</v>
      </c>
      <c r="L28" s="73">
        <f>SUM(M2:AK26)/600</f>
        <v>119.28666666666666</v>
      </c>
    </row>
    <row r="29" spans="3:37" ht="23.25" x14ac:dyDescent="0.35">
      <c r="K29" t="s">
        <v>177</v>
      </c>
      <c r="L29" s="73">
        <f>AVERAGE(M2:AK26)</f>
        <v>119.28666666666666</v>
      </c>
    </row>
    <row r="31" spans="3:37" ht="23.25" x14ac:dyDescent="0.35">
      <c r="K31" t="s">
        <v>178</v>
      </c>
      <c r="L31" s="69">
        <f>2*AVERAGE(L2:L26)</f>
        <v>1079.04</v>
      </c>
    </row>
    <row r="32" spans="3:37" ht="23.25" x14ac:dyDescent="0.35">
      <c r="K32" t="s">
        <v>179</v>
      </c>
      <c r="L32" s="74">
        <f>L29/L31</f>
        <v>0.11054888295769079</v>
      </c>
    </row>
  </sheetData>
  <sortState ref="C2:D26">
    <sortCondition ref="C2:C26"/>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opLeftCell="A24" zoomScale="160" zoomScaleNormal="160" workbookViewId="0">
      <selection activeCell="E29" sqref="E29"/>
    </sheetView>
  </sheetViews>
  <sheetFormatPr defaultRowHeight="15" x14ac:dyDescent="0.25"/>
  <cols>
    <col min="4" max="5" width="9.140625" style="6"/>
    <col min="7" max="7" width="29.140625" bestFit="1" customWidth="1"/>
    <col min="8" max="8" width="12.28515625" bestFit="1" customWidth="1"/>
  </cols>
  <sheetData>
    <row r="1" spans="1:1" ht="21" x14ac:dyDescent="0.35">
      <c r="A1" s="5" t="s">
        <v>7</v>
      </c>
    </row>
    <row r="2" spans="1:1" x14ac:dyDescent="0.25">
      <c r="A2" t="s">
        <v>8</v>
      </c>
    </row>
    <row r="3" spans="1:1" ht="18.75" x14ac:dyDescent="0.3">
      <c r="A3" t="s">
        <v>9</v>
      </c>
    </row>
    <row r="4" spans="1:1" x14ac:dyDescent="0.25">
      <c r="A4" t="s">
        <v>10</v>
      </c>
    </row>
    <row r="5" spans="1:1" x14ac:dyDescent="0.25">
      <c r="A5" t="s">
        <v>11</v>
      </c>
    </row>
    <row r="6" spans="1:1" ht="17.25" x14ac:dyDescent="0.25">
      <c r="A6" t="s">
        <v>12</v>
      </c>
    </row>
    <row r="8" spans="1:1" ht="21" x14ac:dyDescent="0.35">
      <c r="A8" t="s">
        <v>13</v>
      </c>
    </row>
    <row r="9" spans="1:1" x14ac:dyDescent="0.25">
      <c r="A9" t="s">
        <v>10</v>
      </c>
    </row>
    <row r="10" spans="1:1" x14ac:dyDescent="0.25">
      <c r="A10" t="s">
        <v>14</v>
      </c>
    </row>
    <row r="11" spans="1:1" x14ac:dyDescent="0.25">
      <c r="A11" t="s">
        <v>11</v>
      </c>
    </row>
    <row r="12" spans="1:1" ht="17.25" x14ac:dyDescent="0.25">
      <c r="A12" t="s">
        <v>12</v>
      </c>
    </row>
    <row r="26" spans="1:8" s="24" customFormat="1" ht="15.75" thickBot="1" x14ac:dyDescent="0.3">
      <c r="D26" s="23"/>
      <c r="E26" s="23"/>
    </row>
    <row r="27" spans="1:8" ht="16.5" x14ac:dyDescent="0.25">
      <c r="A27" s="12" t="s">
        <v>31</v>
      </c>
      <c r="D27"/>
      <c r="E27"/>
    </row>
    <row r="28" spans="1:8" x14ac:dyDescent="0.25">
      <c r="A28" s="7"/>
      <c r="D28"/>
      <c r="E28"/>
    </row>
    <row r="29" spans="1:8" x14ac:dyDescent="0.25">
      <c r="D29"/>
      <c r="E29"/>
      <c r="G29" t="s">
        <v>154</v>
      </c>
      <c r="H29" t="s">
        <v>155</v>
      </c>
    </row>
    <row r="30" spans="1:8" x14ac:dyDescent="0.25">
      <c r="D30"/>
      <c r="E30"/>
      <c r="G30">
        <v>1</v>
      </c>
      <c r="H30">
        <v>3</v>
      </c>
    </row>
    <row r="31" spans="1:8" x14ac:dyDescent="0.25">
      <c r="D31"/>
      <c r="E31"/>
      <c r="G31">
        <v>2</v>
      </c>
      <c r="H31">
        <v>13</v>
      </c>
    </row>
    <row r="32" spans="1:8" x14ac:dyDescent="0.25">
      <c r="D32"/>
      <c r="E32"/>
      <c r="G32">
        <v>3</v>
      </c>
      <c r="H32">
        <v>11</v>
      </c>
    </row>
    <row r="33" spans="1:7" x14ac:dyDescent="0.25">
      <c r="D33"/>
      <c r="E33"/>
    </row>
    <row r="34" spans="1:7" x14ac:dyDescent="0.25">
      <c r="D34"/>
      <c r="E34"/>
      <c r="G34">
        <f>RSQ(H30:H32,G30:G32)</f>
        <v>0.57142857142857129</v>
      </c>
    </row>
    <row r="35" spans="1:7" x14ac:dyDescent="0.25">
      <c r="D35"/>
      <c r="E35"/>
    </row>
    <row r="36" spans="1:7" x14ac:dyDescent="0.25">
      <c r="D36"/>
      <c r="E36"/>
    </row>
    <row r="37" spans="1:7" x14ac:dyDescent="0.25">
      <c r="D37"/>
      <c r="E37"/>
    </row>
    <row r="38" spans="1:7" x14ac:dyDescent="0.25">
      <c r="D38"/>
      <c r="E38"/>
    </row>
    <row r="39" spans="1:7" x14ac:dyDescent="0.25">
      <c r="D39"/>
      <c r="E39"/>
    </row>
    <row r="40" spans="1:7" x14ac:dyDescent="0.25">
      <c r="D40"/>
      <c r="E40"/>
    </row>
    <row r="41" spans="1:7" x14ac:dyDescent="0.25">
      <c r="D41"/>
      <c r="E41"/>
    </row>
    <row r="42" spans="1:7" x14ac:dyDescent="0.25">
      <c r="D42"/>
      <c r="E42"/>
    </row>
    <row r="44" spans="1:7" s="24" customFormat="1" ht="15.75" thickBot="1" x14ac:dyDescent="0.3">
      <c r="D44" s="23"/>
      <c r="E44" s="23"/>
    </row>
    <row r="45" spans="1:7" x14ac:dyDescent="0.25">
      <c r="A45" s="4" t="s">
        <v>62</v>
      </c>
      <c r="D45"/>
      <c r="E45"/>
    </row>
    <row r="46" spans="1:7" x14ac:dyDescent="0.25">
      <c r="A46" s="4" t="s">
        <v>63</v>
      </c>
      <c r="D46"/>
      <c r="E46"/>
    </row>
    <row r="47" spans="1:7" x14ac:dyDescent="0.25">
      <c r="A47" s="4" t="s">
        <v>64</v>
      </c>
      <c r="D47"/>
      <c r="E47"/>
    </row>
    <row r="48" spans="1:7" x14ac:dyDescent="0.25">
      <c r="A48" s="4" t="s">
        <v>65</v>
      </c>
      <c r="D48"/>
      <c r="E48"/>
    </row>
    <row r="49" spans="1:8" x14ac:dyDescent="0.25">
      <c r="A49" s="4" t="s">
        <v>66</v>
      </c>
      <c r="D49"/>
      <c r="E49"/>
    </row>
    <row r="50" spans="1:8" x14ac:dyDescent="0.25">
      <c r="A50" s="4" t="s">
        <v>162</v>
      </c>
      <c r="D50"/>
      <c r="E50"/>
    </row>
    <row r="51" spans="1:8" x14ac:dyDescent="0.25">
      <c r="A51" s="4" t="s">
        <v>69</v>
      </c>
      <c r="D51"/>
      <c r="E51"/>
    </row>
    <row r="53" spans="1:8" x14ac:dyDescent="0.25">
      <c r="C53" t="s">
        <v>154</v>
      </c>
      <c r="D53" s="6" t="s">
        <v>155</v>
      </c>
      <c r="E53" s="6" t="s">
        <v>156</v>
      </c>
      <c r="F53" s="6" t="s">
        <v>157</v>
      </c>
      <c r="G53" s="6" t="s">
        <v>158</v>
      </c>
      <c r="H53" s="6" t="s">
        <v>159</v>
      </c>
    </row>
    <row r="54" spans="1:8" x14ac:dyDescent="0.25">
      <c r="C54">
        <v>1</v>
      </c>
      <c r="D54" s="6">
        <v>2</v>
      </c>
      <c r="E54" s="6">
        <f>5*C54</f>
        <v>5</v>
      </c>
      <c r="F54">
        <f>-1+5*C54</f>
        <v>4</v>
      </c>
      <c r="G54">
        <f>(D54-E54)^2</f>
        <v>9</v>
      </c>
      <c r="H54">
        <f>(D54-F54)^2</f>
        <v>4</v>
      </c>
    </row>
    <row r="55" spans="1:8" x14ac:dyDescent="0.25">
      <c r="C55">
        <v>1</v>
      </c>
      <c r="D55" s="6">
        <v>4</v>
      </c>
      <c r="E55" s="6">
        <f t="shared" ref="E55:E59" si="0">5*C55</f>
        <v>5</v>
      </c>
      <c r="F55" s="25">
        <f t="shared" ref="F55:F59" si="1">-1+5*C55</f>
        <v>4</v>
      </c>
      <c r="G55" s="25">
        <f t="shared" ref="G55:G59" si="2">(D55-E55)^2</f>
        <v>1</v>
      </c>
      <c r="H55" s="25">
        <f t="shared" ref="H55:H59" si="3">(D55-F55)^2</f>
        <v>0</v>
      </c>
    </row>
    <row r="56" spans="1:8" x14ac:dyDescent="0.25">
      <c r="C56">
        <v>2</v>
      </c>
      <c r="D56" s="6">
        <v>9</v>
      </c>
      <c r="E56" s="6">
        <f t="shared" si="0"/>
        <v>10</v>
      </c>
      <c r="F56" s="25">
        <f t="shared" si="1"/>
        <v>9</v>
      </c>
      <c r="G56" s="25">
        <f t="shared" si="2"/>
        <v>1</v>
      </c>
      <c r="H56" s="25">
        <f t="shared" si="3"/>
        <v>0</v>
      </c>
    </row>
    <row r="57" spans="1:8" x14ac:dyDescent="0.25">
      <c r="C57">
        <v>2</v>
      </c>
      <c r="D57" s="6">
        <v>13</v>
      </c>
      <c r="E57" s="6">
        <f t="shared" si="0"/>
        <v>10</v>
      </c>
      <c r="F57" s="25">
        <f t="shared" si="1"/>
        <v>9</v>
      </c>
      <c r="G57" s="25">
        <f t="shared" si="2"/>
        <v>9</v>
      </c>
      <c r="H57" s="25">
        <f t="shared" si="3"/>
        <v>16</v>
      </c>
    </row>
    <row r="58" spans="1:8" x14ac:dyDescent="0.25">
      <c r="C58">
        <v>3</v>
      </c>
      <c r="D58" s="6">
        <v>12</v>
      </c>
      <c r="E58" s="6">
        <f t="shared" si="0"/>
        <v>15</v>
      </c>
      <c r="F58" s="25">
        <f t="shared" si="1"/>
        <v>14</v>
      </c>
      <c r="G58" s="25">
        <f t="shared" si="2"/>
        <v>9</v>
      </c>
      <c r="H58" s="25">
        <f t="shared" si="3"/>
        <v>4</v>
      </c>
    </row>
    <row r="59" spans="1:8" x14ac:dyDescent="0.25">
      <c r="C59">
        <v>3</v>
      </c>
      <c r="D59" s="6">
        <v>14</v>
      </c>
      <c r="E59" s="6">
        <f t="shared" si="0"/>
        <v>15</v>
      </c>
      <c r="F59" s="25">
        <f t="shared" si="1"/>
        <v>14</v>
      </c>
      <c r="G59" s="25">
        <f t="shared" si="2"/>
        <v>1</v>
      </c>
      <c r="H59" s="25">
        <f t="shared" si="3"/>
        <v>0</v>
      </c>
    </row>
    <row r="60" spans="1:8" x14ac:dyDescent="0.25">
      <c r="D60" s="66">
        <f>DEVSQ(D54:D59)</f>
        <v>124</v>
      </c>
      <c r="F60" s="67">
        <f>DEVSQ(F54:F59)</f>
        <v>100</v>
      </c>
      <c r="G60" s="25">
        <f>SUM(G54:G59)</f>
        <v>30</v>
      </c>
      <c r="H60" s="49">
        <f>SUM(H54:H59)</f>
        <v>24</v>
      </c>
    </row>
    <row r="62" spans="1:8" x14ac:dyDescent="0.25">
      <c r="D62" s="6" t="s">
        <v>163</v>
      </c>
      <c r="G62" t="s">
        <v>166</v>
      </c>
    </row>
    <row r="63" spans="1:8" x14ac:dyDescent="0.25">
      <c r="C63" t="s">
        <v>160</v>
      </c>
      <c r="G63" s="47" t="s">
        <v>167</v>
      </c>
      <c r="H63">
        <v>-1</v>
      </c>
    </row>
    <row r="64" spans="1:8" x14ac:dyDescent="0.25">
      <c r="C64" t="s">
        <v>161</v>
      </c>
      <c r="G64" s="47" t="s">
        <v>168</v>
      </c>
      <c r="H64">
        <v>5</v>
      </c>
    </row>
    <row r="65" spans="3:8" x14ac:dyDescent="0.25">
      <c r="C65" t="s">
        <v>164</v>
      </c>
      <c r="G65" s="47" t="s">
        <v>169</v>
      </c>
      <c r="H65">
        <v>0.80645161290322609</v>
      </c>
    </row>
    <row r="66" spans="3:8" x14ac:dyDescent="0.25">
      <c r="C66" t="s">
        <v>165</v>
      </c>
      <c r="D66" s="6">
        <f>F60/D60</f>
        <v>0.80645161290322576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workbookViewId="0">
      <selection activeCell="A18" sqref="A18:G20"/>
    </sheetView>
  </sheetViews>
  <sheetFormatPr defaultRowHeight="15" x14ac:dyDescent="0.25"/>
  <sheetData>
    <row r="1" spans="1:1" x14ac:dyDescent="0.25">
      <c r="A1" s="4" t="s">
        <v>32</v>
      </c>
    </row>
    <row r="2" spans="1:1" x14ac:dyDescent="0.25">
      <c r="A2" s="4" t="s">
        <v>33</v>
      </c>
    </row>
    <row r="3" spans="1:1" x14ac:dyDescent="0.25">
      <c r="A3" s="4" t="s">
        <v>34</v>
      </c>
    </row>
    <row r="4" spans="1:1" x14ac:dyDescent="0.25">
      <c r="A4" s="4" t="s">
        <v>35</v>
      </c>
    </row>
    <row r="5" spans="1:1" x14ac:dyDescent="0.25">
      <c r="A5" s="4" t="s">
        <v>36</v>
      </c>
    </row>
    <row r="6" spans="1:1" x14ac:dyDescent="0.25">
      <c r="A6" s="4" t="s">
        <v>37</v>
      </c>
    </row>
    <row r="7" spans="1:1" x14ac:dyDescent="0.25">
      <c r="A7" s="4" t="s">
        <v>38</v>
      </c>
    </row>
    <row r="8" spans="1:1" x14ac:dyDescent="0.25">
      <c r="A8" s="3"/>
    </row>
    <row r="9" spans="1:1" x14ac:dyDescent="0.25">
      <c r="A9" s="4"/>
    </row>
    <row r="10" spans="1:1" x14ac:dyDescent="0.25">
      <c r="A10" s="4"/>
    </row>
    <row r="11" spans="1:1" x14ac:dyDescent="0.25">
      <c r="A11" s="4"/>
    </row>
    <row r="12" spans="1:1" x14ac:dyDescent="0.25">
      <c r="A12" s="4"/>
    </row>
    <row r="13" spans="1:1" x14ac:dyDescent="0.25">
      <c r="A13" s="4"/>
    </row>
    <row r="14" spans="1:1" x14ac:dyDescent="0.25">
      <c r="A14" s="3"/>
    </row>
    <row r="15" spans="1:1" x14ac:dyDescent="0.25">
      <c r="A15" s="3"/>
    </row>
    <row r="16" spans="1:1" x14ac:dyDescent="0.25">
      <c r="A16" s="3"/>
    </row>
    <row r="17" spans="1:1" x14ac:dyDescent="0.25">
      <c r="A17" s="3"/>
    </row>
    <row r="21" spans="1:1" x14ac:dyDescent="0.25">
      <c r="A21" s="3"/>
    </row>
    <row r="22" spans="1:1" x14ac:dyDescent="0.25">
      <c r="A22" s="4"/>
    </row>
    <row r="23" spans="1:1" x14ac:dyDescent="0.25">
      <c r="A23"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G3"/>
    </sheetView>
  </sheetViews>
  <sheetFormatPr defaultRowHeight="15" x14ac:dyDescent="0.25"/>
  <sheetData>
    <row r="1" spans="1:1" x14ac:dyDescent="0.25">
      <c r="A1" s="4" t="s">
        <v>39</v>
      </c>
    </row>
    <row r="2" spans="1:1" x14ac:dyDescent="0.25">
      <c r="A2" s="4" t="s">
        <v>40</v>
      </c>
    </row>
    <row r="3" spans="1:1" x14ac:dyDescent="0.25">
      <c r="A3" s="4" t="s">
        <v>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topLeftCell="A26" zoomScale="130" zoomScaleNormal="130" workbookViewId="0">
      <selection activeCell="I41" sqref="I41"/>
    </sheetView>
  </sheetViews>
  <sheetFormatPr defaultRowHeight="15" x14ac:dyDescent="0.25"/>
  <cols>
    <col min="6" max="6" width="13.5703125" customWidth="1"/>
    <col min="7" max="7" width="18.7109375" customWidth="1"/>
    <col min="10" max="10" width="13.42578125" customWidth="1"/>
  </cols>
  <sheetData>
    <row r="1" spans="1:13" x14ac:dyDescent="0.25">
      <c r="A1" s="25" t="s">
        <v>42</v>
      </c>
    </row>
    <row r="2" spans="1:13" x14ac:dyDescent="0.25">
      <c r="A2" s="25" t="s">
        <v>43</v>
      </c>
    </row>
    <row r="3" spans="1:13" x14ac:dyDescent="0.25">
      <c r="A3" s="25" t="s">
        <v>44</v>
      </c>
    </row>
    <row r="4" spans="1:13" x14ac:dyDescent="0.25">
      <c r="A4" s="25" t="s">
        <v>45</v>
      </c>
    </row>
    <row r="6" spans="1:13" x14ac:dyDescent="0.25">
      <c r="A6" s="25" t="s">
        <v>46</v>
      </c>
    </row>
    <row r="8" spans="1:13" s="24" customFormat="1" ht="15.75" thickBot="1" x14ac:dyDescent="0.3"/>
    <row r="9" spans="1:13" x14ac:dyDescent="0.25">
      <c r="A9" s="3" t="s">
        <v>99</v>
      </c>
    </row>
    <row r="10" spans="1:13" x14ac:dyDescent="0.25">
      <c r="A10" s="34" t="s">
        <v>100</v>
      </c>
      <c r="B10" s="34"/>
      <c r="C10" s="34"/>
      <c r="D10" s="34"/>
      <c r="E10" s="34"/>
      <c r="F10" s="34"/>
      <c r="G10" s="34"/>
      <c r="H10" s="34"/>
      <c r="I10" s="34"/>
      <c r="J10" s="34"/>
      <c r="K10" s="34"/>
      <c r="L10" s="34"/>
      <c r="M10" s="34"/>
    </row>
    <row r="11" spans="1:13" s="25" customFormat="1" ht="20.25" customHeight="1" x14ac:dyDescent="0.25">
      <c r="A11" s="34"/>
      <c r="B11" s="34"/>
      <c r="C11" s="34"/>
      <c r="D11" s="34"/>
      <c r="E11" s="34"/>
      <c r="F11" s="34"/>
      <c r="G11" s="34"/>
      <c r="H11" s="34"/>
      <c r="I11" s="34"/>
      <c r="J11" s="34"/>
      <c r="K11" s="34"/>
      <c r="L11" s="34"/>
      <c r="M11" s="34"/>
    </row>
    <row r="12" spans="1:13" s="25" customFormat="1" ht="21.75" customHeight="1" x14ac:dyDescent="0.25">
      <c r="A12" s="34"/>
      <c r="B12" s="34"/>
      <c r="C12" s="34"/>
      <c r="D12" s="34"/>
      <c r="E12" s="34"/>
      <c r="F12" s="34"/>
      <c r="G12" s="34"/>
      <c r="H12" s="34"/>
      <c r="I12" s="34"/>
      <c r="J12" s="34"/>
      <c r="K12" s="34"/>
      <c r="L12" s="34"/>
      <c r="M12" s="34"/>
    </row>
    <row r="13" spans="1:13" s="25" customFormat="1" x14ac:dyDescent="0.25">
      <c r="A13" s="3"/>
    </row>
    <row r="14" spans="1:13" x14ac:dyDescent="0.25">
      <c r="A14" s="65" t="s">
        <v>150</v>
      </c>
      <c r="B14" s="65"/>
      <c r="C14" s="65"/>
      <c r="D14" s="65"/>
      <c r="E14" s="65"/>
      <c r="F14" s="65"/>
      <c r="G14" s="65"/>
      <c r="H14" s="65"/>
      <c r="I14" s="65"/>
      <c r="J14" s="65"/>
      <c r="K14" s="65"/>
    </row>
    <row r="15" spans="1:13" x14ac:dyDescent="0.25">
      <c r="A15" s="65"/>
      <c r="B15" s="65"/>
      <c r="C15" s="65"/>
      <c r="D15" s="65"/>
      <c r="E15" s="65"/>
      <c r="F15" s="65"/>
      <c r="G15" s="65"/>
      <c r="H15" s="65"/>
      <c r="I15" s="65"/>
      <c r="J15" s="65"/>
      <c r="K15" s="65"/>
    </row>
    <row r="16" spans="1:13" x14ac:dyDescent="0.25">
      <c r="A16" s="65"/>
      <c r="B16" s="65"/>
      <c r="C16" s="65"/>
      <c r="D16" s="65"/>
      <c r="E16" s="65"/>
      <c r="F16" s="65"/>
      <c r="G16" s="65"/>
      <c r="H16" s="65"/>
      <c r="I16" s="65"/>
      <c r="J16" s="65"/>
      <c r="K16" s="65"/>
    </row>
    <row r="17" spans="1:11" x14ac:dyDescent="0.25">
      <c r="A17" s="65"/>
      <c r="B17" s="65"/>
      <c r="C17" s="65"/>
      <c r="D17" s="65"/>
      <c r="E17" s="65"/>
      <c r="F17" s="65"/>
      <c r="G17" s="65"/>
      <c r="H17" s="65"/>
      <c r="I17" s="65"/>
      <c r="J17" s="65"/>
      <c r="K17" s="65"/>
    </row>
    <row r="19" spans="1:11" x14ac:dyDescent="0.25">
      <c r="A19" s="65" t="s">
        <v>151</v>
      </c>
      <c r="B19" s="65"/>
      <c r="C19" s="65"/>
      <c r="D19" s="65"/>
      <c r="E19" s="65"/>
      <c r="F19" s="65"/>
      <c r="G19" s="65"/>
      <c r="H19" s="65"/>
      <c r="I19" s="65"/>
      <c r="J19" s="65"/>
      <c r="K19" s="65"/>
    </row>
    <row r="20" spans="1:11" x14ac:dyDescent="0.25">
      <c r="A20" s="65"/>
      <c r="B20" s="65"/>
      <c r="C20" s="65"/>
      <c r="D20" s="65"/>
      <c r="E20" s="65"/>
      <c r="F20" s="65"/>
      <c r="G20" s="65"/>
      <c r="H20" s="65"/>
      <c r="I20" s="65"/>
      <c r="J20" s="65"/>
      <c r="K20" s="65"/>
    </row>
    <row r="21" spans="1:11" x14ac:dyDescent="0.25">
      <c r="A21" s="65"/>
      <c r="B21" s="65"/>
      <c r="C21" s="65"/>
      <c r="D21" s="65"/>
      <c r="E21" s="65"/>
      <c r="F21" s="65"/>
      <c r="G21" s="65"/>
      <c r="H21" s="65"/>
      <c r="I21" s="65"/>
      <c r="J21" s="65"/>
      <c r="K21" s="65"/>
    </row>
    <row r="22" spans="1:11" x14ac:dyDescent="0.25">
      <c r="A22" s="65"/>
      <c r="B22" s="65"/>
      <c r="C22" s="65"/>
      <c r="D22" s="65"/>
      <c r="E22" s="65"/>
      <c r="F22" s="65"/>
      <c r="G22" s="65"/>
      <c r="H22" s="65"/>
      <c r="I22" s="65"/>
      <c r="J22" s="65"/>
      <c r="K22" s="65"/>
    </row>
    <row r="24" spans="1:11" x14ac:dyDescent="0.25">
      <c r="A24" s="65" t="s">
        <v>152</v>
      </c>
      <c r="B24" s="65"/>
      <c r="C24" s="65"/>
      <c r="D24" s="65"/>
      <c r="E24" s="65"/>
      <c r="F24" s="65"/>
      <c r="G24" s="65"/>
      <c r="H24" s="65"/>
      <c r="I24" s="65"/>
      <c r="J24" s="65"/>
      <c r="K24" s="65"/>
    </row>
    <row r="25" spans="1:11" x14ac:dyDescent="0.25">
      <c r="A25" s="65"/>
      <c r="B25" s="65"/>
      <c r="C25" s="65"/>
      <c r="D25" s="65"/>
      <c r="E25" s="65"/>
      <c r="F25" s="65"/>
      <c r="G25" s="65"/>
      <c r="H25" s="65"/>
      <c r="I25" s="65"/>
      <c r="J25" s="65"/>
      <c r="K25" s="65"/>
    </row>
    <row r="26" spans="1:11" x14ac:dyDescent="0.25">
      <c r="A26" s="65"/>
      <c r="B26" s="65"/>
      <c r="C26" s="65"/>
      <c r="D26" s="65"/>
      <c r="E26" s="65"/>
      <c r="F26" s="65"/>
      <c r="G26" s="65"/>
      <c r="H26" s="65"/>
      <c r="I26" s="65"/>
      <c r="J26" s="65"/>
      <c r="K26" s="65"/>
    </row>
    <row r="28" spans="1:11" x14ac:dyDescent="0.25">
      <c r="A28" s="65" t="s">
        <v>153</v>
      </c>
      <c r="B28" s="65"/>
      <c r="C28" s="65"/>
      <c r="D28" s="65"/>
      <c r="E28" s="65"/>
      <c r="F28" s="65"/>
      <c r="G28" s="65"/>
      <c r="H28" s="65"/>
      <c r="I28" s="65"/>
      <c r="J28" s="65"/>
      <c r="K28" s="65"/>
    </row>
    <row r="29" spans="1:11" x14ac:dyDescent="0.25">
      <c r="A29" s="65"/>
      <c r="B29" s="65"/>
      <c r="C29" s="65"/>
      <c r="D29" s="65"/>
      <c r="E29" s="65"/>
      <c r="F29" s="65"/>
      <c r="G29" s="65"/>
      <c r="H29" s="65"/>
      <c r="I29" s="65"/>
      <c r="J29" s="65"/>
      <c r="K29" s="65"/>
    </row>
    <row r="30" spans="1:11" x14ac:dyDescent="0.25">
      <c r="A30" s="65"/>
      <c r="B30" s="65"/>
      <c r="C30" s="65"/>
      <c r="D30" s="65"/>
      <c r="E30" s="65"/>
      <c r="F30" s="65"/>
      <c r="G30" s="65"/>
      <c r="H30" s="65"/>
      <c r="I30" s="65"/>
      <c r="J30" s="65"/>
      <c r="K30" s="65"/>
    </row>
    <row r="31" spans="1:11" x14ac:dyDescent="0.25">
      <c r="A31" s="65"/>
      <c r="B31" s="65"/>
      <c r="C31" s="65"/>
      <c r="D31" s="65"/>
      <c r="E31" s="65"/>
      <c r="F31" s="65"/>
      <c r="G31" s="65"/>
      <c r="H31" s="65"/>
      <c r="I31" s="65"/>
      <c r="J31" s="65"/>
      <c r="K31" s="65"/>
    </row>
    <row r="34" spans="1:12" ht="21" x14ac:dyDescent="0.35">
      <c r="A34" s="68" t="s">
        <v>171</v>
      </c>
      <c r="B34" s="68"/>
      <c r="C34" s="68"/>
      <c r="D34" s="68"/>
      <c r="E34" s="68"/>
      <c r="F34" s="68"/>
      <c r="G34" s="68"/>
      <c r="H34" s="68"/>
      <c r="I34" s="68"/>
      <c r="J34" s="68"/>
    </row>
    <row r="35" spans="1:12" ht="21" x14ac:dyDescent="0.35">
      <c r="A35" s="68" t="s">
        <v>175</v>
      </c>
      <c r="B35" s="68"/>
      <c r="C35" s="68"/>
      <c r="D35" s="68"/>
      <c r="E35" s="68"/>
      <c r="F35" s="68"/>
      <c r="G35" s="68"/>
      <c r="H35" s="68"/>
      <c r="I35" s="68"/>
      <c r="J35" s="68"/>
    </row>
    <row r="37" spans="1:12" x14ac:dyDescent="0.25">
      <c r="C37" t="s">
        <v>172</v>
      </c>
      <c r="D37" t="s">
        <v>173</v>
      </c>
      <c r="E37" t="s">
        <v>174</v>
      </c>
      <c r="F37" t="s">
        <v>174</v>
      </c>
      <c r="J37" s="25">
        <v>12</v>
      </c>
      <c r="K37" s="25">
        <v>34</v>
      </c>
      <c r="L37" s="25">
        <v>80</v>
      </c>
    </row>
    <row r="38" spans="1:12" ht="31.5" x14ac:dyDescent="0.5">
      <c r="C38">
        <v>12</v>
      </c>
      <c r="D38">
        <f>1/3</f>
        <v>0.33333333333333331</v>
      </c>
      <c r="E38">
        <f>12/126</f>
        <v>9.5238095238095233E-2</v>
      </c>
      <c r="F38" s="72">
        <f>SUM(C$38:C38)/SUM(C$38:C$40)</f>
        <v>9.5238095238095233E-2</v>
      </c>
      <c r="G38" s="69">
        <f>1-(E38+E39)/(D38+D39)</f>
        <v>0.53968253968253976</v>
      </c>
      <c r="I38" s="25">
        <v>12</v>
      </c>
      <c r="J38" s="71"/>
      <c r="K38" s="71"/>
      <c r="L38" s="71"/>
    </row>
    <row r="39" spans="1:12" x14ac:dyDescent="0.25">
      <c r="C39">
        <v>34</v>
      </c>
      <c r="D39">
        <f>1/3+D38</f>
        <v>0.66666666666666663</v>
      </c>
      <c r="E39">
        <f>46/126</f>
        <v>0.36507936507936506</v>
      </c>
      <c r="F39" s="25">
        <f>SUM(C$38:C39)/SUM(C$38:C$40)</f>
        <v>0.36507936507936506</v>
      </c>
      <c r="I39" s="25">
        <v>34</v>
      </c>
      <c r="J39" s="71">
        <f t="shared" ref="J39:J40" si="0">$I39-J$37</f>
        <v>22</v>
      </c>
      <c r="K39" s="71"/>
      <c r="L39" s="71"/>
    </row>
    <row r="40" spans="1:12" x14ac:dyDescent="0.25">
      <c r="C40">
        <v>80</v>
      </c>
      <c r="D40" s="25">
        <f>1/3+D39</f>
        <v>1</v>
      </c>
      <c r="E40">
        <v>1</v>
      </c>
      <c r="F40" s="25">
        <f>SUM(C$38:C40)/SUM(C$38:C$40)</f>
        <v>1</v>
      </c>
      <c r="I40" s="25">
        <v>80</v>
      </c>
      <c r="J40" s="71">
        <f t="shared" si="0"/>
        <v>68</v>
      </c>
      <c r="K40" s="71">
        <f t="shared" ref="K38:L40" si="1">$I40-K$37</f>
        <v>46</v>
      </c>
      <c r="L40" s="71"/>
    </row>
    <row r="42" spans="1:12" ht="23.25" x14ac:dyDescent="0.25">
      <c r="C42">
        <f>SUM(C38:C41)</f>
        <v>126</v>
      </c>
      <c r="J42" s="70">
        <f>AVERAGE(J39:K40)/(2*AVERAGE(I38:I40))</f>
        <v>0.53968253968253976</v>
      </c>
    </row>
  </sheetData>
  <mergeCells count="5">
    <mergeCell ref="A14:K17"/>
    <mergeCell ref="A19:K22"/>
    <mergeCell ref="A24:K26"/>
    <mergeCell ref="A28:K31"/>
    <mergeCell ref="A10:M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A5" zoomScale="190" zoomScaleNormal="190" workbookViewId="0">
      <selection activeCell="A22" sqref="A22"/>
    </sheetView>
  </sheetViews>
  <sheetFormatPr defaultRowHeight="15" x14ac:dyDescent="0.25"/>
  <sheetData>
    <row r="1" spans="1:10" x14ac:dyDescent="0.25">
      <c r="A1" s="4" t="s">
        <v>47</v>
      </c>
    </row>
    <row r="2" spans="1:10" x14ac:dyDescent="0.25">
      <c r="A2" s="4" t="s">
        <v>48</v>
      </c>
      <c r="I2" t="s">
        <v>101</v>
      </c>
      <c r="J2">
        <v>21</v>
      </c>
    </row>
    <row r="3" spans="1:10" x14ac:dyDescent="0.25">
      <c r="A3" s="4" t="s">
        <v>49</v>
      </c>
      <c r="I3" t="s">
        <v>102</v>
      </c>
      <c r="J3">
        <v>56</v>
      </c>
    </row>
    <row r="4" spans="1:10" x14ac:dyDescent="0.25">
      <c r="A4" s="4" t="s">
        <v>50</v>
      </c>
      <c r="G4">
        <f>62/4</f>
        <v>15.5</v>
      </c>
      <c r="I4" t="s">
        <v>103</v>
      </c>
      <c r="J4">
        <v>42</v>
      </c>
    </row>
    <row r="5" spans="1:10" x14ac:dyDescent="0.25">
      <c r="A5" s="4" t="s">
        <v>51</v>
      </c>
    </row>
    <row r="6" spans="1:10" x14ac:dyDescent="0.25">
      <c r="A6" s="4" t="s">
        <v>52</v>
      </c>
    </row>
    <row r="7" spans="1:10" x14ac:dyDescent="0.25">
      <c r="A7" s="4" t="s">
        <v>53</v>
      </c>
    </row>
    <row r="8" spans="1:10" x14ac:dyDescent="0.25">
      <c r="A8" s="4" t="s">
        <v>54</v>
      </c>
    </row>
    <row r="9" spans="1:10" x14ac:dyDescent="0.25">
      <c r="A9" s="4" t="s">
        <v>55</v>
      </c>
    </row>
    <row r="10" spans="1:10" x14ac:dyDescent="0.25">
      <c r="A10" s="4" t="s">
        <v>56</v>
      </c>
    </row>
    <row r="11" spans="1:10" x14ac:dyDescent="0.25">
      <c r="A11" s="4" t="s">
        <v>57</v>
      </c>
    </row>
    <row r="12" spans="1:10" x14ac:dyDescent="0.25">
      <c r="A12" s="4" t="s">
        <v>58</v>
      </c>
    </row>
    <row r="13" spans="1:10" x14ac:dyDescent="0.25">
      <c r="A13" s="4" t="s">
        <v>59</v>
      </c>
    </row>
    <row r="14" spans="1:10" x14ac:dyDescent="0.25">
      <c r="A14" s="4" t="s">
        <v>60</v>
      </c>
    </row>
    <row r="15" spans="1:10" x14ac:dyDescent="0.25">
      <c r="A15" s="4" t="s">
        <v>61</v>
      </c>
    </row>
    <row r="16" spans="1:10" x14ac:dyDescent="0.25">
      <c r="A16" s="3" t="s">
        <v>104</v>
      </c>
    </row>
    <row r="17" spans="1:9" x14ac:dyDescent="0.25">
      <c r="A17" s="3" t="s">
        <v>105</v>
      </c>
    </row>
    <row r="18" spans="1:9" x14ac:dyDescent="0.25">
      <c r="A18" s="3" t="s">
        <v>106</v>
      </c>
    </row>
    <row r="19" spans="1:9" x14ac:dyDescent="0.25">
      <c r="A19" s="3" t="s">
        <v>107</v>
      </c>
    </row>
    <row r="20" spans="1:9" x14ac:dyDescent="0.25">
      <c r="A20" s="3" t="s">
        <v>108</v>
      </c>
    </row>
    <row r="21" spans="1:9" x14ac:dyDescent="0.25">
      <c r="A21" s="3" t="s">
        <v>109</v>
      </c>
      <c r="H21">
        <f>12/15.5</f>
        <v>0.77419354838709675</v>
      </c>
    </row>
    <row r="22" spans="1:9" x14ac:dyDescent="0.25">
      <c r="H22">
        <f>7.75*3</f>
        <v>23.25</v>
      </c>
    </row>
    <row r="23" spans="1:9" x14ac:dyDescent="0.25">
      <c r="H23">
        <f>7+H22</f>
        <v>30.25</v>
      </c>
    </row>
    <row r="24" spans="1:9" x14ac:dyDescent="0.25">
      <c r="H24">
        <f>31/4</f>
        <v>7.75</v>
      </c>
    </row>
    <row r="27" spans="1:9" x14ac:dyDescent="0.25">
      <c r="H27">
        <f>2/7</f>
        <v>0.2857142857142857</v>
      </c>
      <c r="I27">
        <f>10+H27</f>
        <v>10.285714285714286</v>
      </c>
    </row>
    <row r="28" spans="1:9" x14ac:dyDescent="0.25">
      <c r="I28">
        <f>I27+$H$27</f>
        <v>10.571428571428573</v>
      </c>
    </row>
    <row r="29" spans="1:9" x14ac:dyDescent="0.25">
      <c r="I29" s="25">
        <f t="shared" ref="I29:I31" si="0">I28+$H$27</f>
        <v>10.857142857142859</v>
      </c>
    </row>
    <row r="30" spans="1:9" x14ac:dyDescent="0.25">
      <c r="I30" s="25">
        <f t="shared" si="0"/>
        <v>11.142857142857146</v>
      </c>
    </row>
    <row r="31" spans="1:9" x14ac:dyDescent="0.25">
      <c r="I31" s="25">
        <f t="shared" si="0"/>
        <v>11.428571428571432</v>
      </c>
    </row>
    <row r="32" spans="1:9" x14ac:dyDescent="0.25">
      <c r="I32" s="25">
        <f>I31+$H$27</f>
        <v>11.714285714285719</v>
      </c>
    </row>
    <row r="33" spans="9:9" x14ac:dyDescent="0.25">
      <c r="I33" s="25">
        <f>I32+$H$27</f>
        <v>12.000000000000005</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C1" zoomScale="184" zoomScaleNormal="184" workbookViewId="0">
      <selection activeCell="I1" sqref="I1"/>
    </sheetView>
  </sheetViews>
  <sheetFormatPr defaultRowHeight="15" x14ac:dyDescent="0.25"/>
  <cols>
    <col min="3" max="3" width="10.42578125" bestFit="1" customWidth="1"/>
    <col min="5" max="5" width="10" bestFit="1" customWidth="1"/>
    <col min="9" max="9" width="10.5703125" customWidth="1"/>
  </cols>
  <sheetData>
    <row r="1" spans="1:11" ht="75" customHeight="1" x14ac:dyDescent="0.25">
      <c r="A1" s="34" t="s">
        <v>70</v>
      </c>
      <c r="B1" s="34"/>
      <c r="C1" s="34"/>
      <c r="D1" s="34"/>
      <c r="E1" s="34"/>
      <c r="F1" s="34"/>
    </row>
    <row r="2" spans="1:11" ht="15.75" thickBot="1" x14ac:dyDescent="0.3">
      <c r="A2" s="22" t="s">
        <v>71</v>
      </c>
      <c r="G2" t="s">
        <v>140</v>
      </c>
      <c r="J2" t="s">
        <v>142</v>
      </c>
      <c r="K2">
        <f>G12</f>
        <v>1.1198804841149772</v>
      </c>
    </row>
    <row r="3" spans="1:11" ht="15.75" thickBot="1" x14ac:dyDescent="0.3">
      <c r="A3" s="40" t="s">
        <v>72</v>
      </c>
      <c r="B3" s="40"/>
      <c r="C3" s="43" t="s">
        <v>73</v>
      </c>
      <c r="D3" s="43"/>
      <c r="E3" s="43"/>
      <c r="G3" t="s">
        <v>141</v>
      </c>
      <c r="J3" t="s">
        <v>143</v>
      </c>
      <c r="K3">
        <f>B22/B21</f>
        <v>1.225563909774436</v>
      </c>
    </row>
    <row r="4" spans="1:11" ht="15.75" thickBot="1" x14ac:dyDescent="0.3">
      <c r="A4" s="41"/>
      <c r="B4" s="41"/>
      <c r="C4" s="40" t="s">
        <v>74</v>
      </c>
      <c r="D4" s="43" t="s">
        <v>75</v>
      </c>
      <c r="E4" s="43"/>
      <c r="G4" s="62" t="s">
        <v>149</v>
      </c>
      <c r="H4" s="63"/>
      <c r="I4" s="63"/>
      <c r="J4" s="64"/>
      <c r="K4" s="64">
        <f>1800*K2*K3</f>
        <v>2470.4731882656711</v>
      </c>
    </row>
    <row r="5" spans="1:11" ht="64.5" thickBot="1" x14ac:dyDescent="0.3">
      <c r="A5" s="42"/>
      <c r="B5" s="42"/>
      <c r="C5" s="42"/>
      <c r="D5" s="20" t="s">
        <v>76</v>
      </c>
      <c r="E5" s="20" t="s">
        <v>77</v>
      </c>
    </row>
    <row r="6" spans="1:11" ht="15.75" thickBot="1" x14ac:dyDescent="0.3">
      <c r="A6" s="21"/>
      <c r="B6" s="21"/>
      <c r="C6" s="36" t="s">
        <v>78</v>
      </c>
      <c r="D6" s="36"/>
      <c r="E6" s="36"/>
      <c r="G6" t="s">
        <v>144</v>
      </c>
    </row>
    <row r="7" spans="1:11" ht="15.75" thickBot="1" x14ac:dyDescent="0.3">
      <c r="A7" s="35">
        <v>2007</v>
      </c>
      <c r="B7" s="35"/>
      <c r="C7" s="17">
        <v>132.19999999999999</v>
      </c>
      <c r="D7" s="16" t="s">
        <v>79</v>
      </c>
      <c r="E7" s="16">
        <v>1.8</v>
      </c>
      <c r="G7" t="s">
        <v>145</v>
      </c>
    </row>
    <row r="8" spans="1:11" ht="15.75" thickBot="1" x14ac:dyDescent="0.3">
      <c r="A8" s="35">
        <v>2008</v>
      </c>
      <c r="B8" s="35"/>
      <c r="C8" s="17">
        <v>136.6</v>
      </c>
      <c r="D8" s="16" t="s">
        <v>79</v>
      </c>
      <c r="E8" s="16">
        <v>3.3</v>
      </c>
      <c r="G8">
        <f>1.398*1.059</f>
        <v>1.4804819999999999</v>
      </c>
    </row>
    <row r="9" spans="1:11" ht="15.75" thickBot="1" x14ac:dyDescent="0.3">
      <c r="A9" s="35">
        <v>2009</v>
      </c>
      <c r="B9" s="35"/>
      <c r="C9" s="17">
        <v>137.69999999999999</v>
      </c>
      <c r="D9" s="16" t="s">
        <v>79</v>
      </c>
      <c r="E9" s="16">
        <v>0.8</v>
      </c>
      <c r="G9" t="s">
        <v>146</v>
      </c>
    </row>
    <row r="10" spans="1:11" ht="15.75" thickBot="1" x14ac:dyDescent="0.3">
      <c r="A10" s="35">
        <v>2010</v>
      </c>
      <c r="B10" s="35"/>
      <c r="C10" s="17">
        <v>139.80000000000001</v>
      </c>
      <c r="D10" s="16" t="s">
        <v>79</v>
      </c>
      <c r="E10" s="16">
        <v>1.5</v>
      </c>
      <c r="G10" t="s">
        <v>147</v>
      </c>
    </row>
    <row r="11" spans="1:11" ht="15.75" thickBot="1" x14ac:dyDescent="0.3">
      <c r="A11" s="15"/>
      <c r="B11" s="15"/>
      <c r="C11" s="36" t="s">
        <v>80</v>
      </c>
      <c r="D11" s="36"/>
      <c r="E11" s="36"/>
      <c r="G11" t="s">
        <v>148</v>
      </c>
    </row>
    <row r="12" spans="1:11" ht="38.25" customHeight="1" thickBot="1" x14ac:dyDescent="0.3">
      <c r="A12" s="37" t="s">
        <v>81</v>
      </c>
      <c r="B12" s="37"/>
      <c r="C12" s="14">
        <v>1.3979999999999999</v>
      </c>
      <c r="D12" s="19"/>
      <c r="E12" s="19"/>
      <c r="G12">
        <f>G8/1.322</f>
        <v>1.1198804841149772</v>
      </c>
    </row>
    <row r="13" spans="1:11" ht="15.75" thickBot="1" x14ac:dyDescent="0.3">
      <c r="A13" s="18">
        <v>2011</v>
      </c>
      <c r="B13" s="18"/>
      <c r="C13" s="13">
        <v>102.8</v>
      </c>
      <c r="D13" s="16" t="s">
        <v>79</v>
      </c>
      <c r="E13" s="16">
        <v>2.8</v>
      </c>
    </row>
    <row r="14" spans="1:11" ht="15.75" thickBot="1" x14ac:dyDescent="0.3">
      <c r="A14" s="18">
        <v>2012</v>
      </c>
      <c r="B14" s="18"/>
      <c r="C14" s="13">
        <v>105.9</v>
      </c>
      <c r="D14" s="16" t="s">
        <v>79</v>
      </c>
      <c r="E14" s="16">
        <v>3</v>
      </c>
    </row>
    <row r="15" spans="1:11" x14ac:dyDescent="0.25">
      <c r="A15" s="22"/>
    </row>
    <row r="16" spans="1:11" ht="15.75" thickBot="1" x14ac:dyDescent="0.3">
      <c r="A16" s="22" t="s">
        <v>82</v>
      </c>
    </row>
    <row r="17" spans="1:6" ht="15.75" thickBot="1" x14ac:dyDescent="0.3">
      <c r="A17" s="38" t="s">
        <v>83</v>
      </c>
      <c r="B17" s="39"/>
    </row>
    <row r="18" spans="1:6" ht="39" thickBot="1" x14ac:dyDescent="0.3">
      <c r="A18" s="26" t="s">
        <v>84</v>
      </c>
      <c r="B18" s="53" t="s">
        <v>85</v>
      </c>
      <c r="F18" t="s">
        <v>138</v>
      </c>
    </row>
    <row r="19" spans="1:6" ht="15.75" thickBot="1" x14ac:dyDescent="0.3">
      <c r="A19" s="52">
        <v>1</v>
      </c>
      <c r="B19" s="54">
        <v>0.6</v>
      </c>
      <c r="C19" s="55" t="str">
        <f>CONCATENATE(2, " CE ",A19)</f>
        <v>2 CE 1</v>
      </c>
      <c r="D19" s="59">
        <f>1/B19</f>
        <v>1.6666666666666667</v>
      </c>
      <c r="E19" s="55" t="str">
        <f>CONCATENATE(A19," CE 2")</f>
        <v>1 CE 2</v>
      </c>
      <c r="F19" t="s">
        <v>139</v>
      </c>
    </row>
    <row r="20" spans="1:6" ht="15.75" thickBot="1" x14ac:dyDescent="0.3">
      <c r="A20" s="52">
        <v>2</v>
      </c>
      <c r="B20" s="56">
        <v>1</v>
      </c>
      <c r="C20" s="57" t="str">
        <f t="shared" ref="C20:C24" si="0">CONCATENATE(2, " CE ",A20)</f>
        <v>2 CE 2</v>
      </c>
      <c r="D20" s="60">
        <f t="shared" ref="D20:D24" si="1">1/B20</f>
        <v>1</v>
      </c>
      <c r="E20" s="57" t="str">
        <f t="shared" ref="E20:E24" si="2">CONCATENATE(A20," CE 2")</f>
        <v>2 CE 2</v>
      </c>
    </row>
    <row r="21" spans="1:6" ht="15.75" thickBot="1" x14ac:dyDescent="0.3">
      <c r="A21" s="52">
        <v>3</v>
      </c>
      <c r="B21" s="56">
        <v>1.33</v>
      </c>
      <c r="C21" s="57" t="str">
        <f t="shared" si="0"/>
        <v>2 CE 3</v>
      </c>
      <c r="D21" s="60">
        <f t="shared" si="1"/>
        <v>0.75187969924812026</v>
      </c>
      <c r="E21" s="57" t="str">
        <f t="shared" si="2"/>
        <v>3 CE 2</v>
      </c>
      <c r="F21">
        <f>3400*(1/B21)</f>
        <v>2556.3909774436088</v>
      </c>
    </row>
    <row r="22" spans="1:6" ht="15.75" thickBot="1" x14ac:dyDescent="0.3">
      <c r="A22" s="52">
        <v>4</v>
      </c>
      <c r="B22" s="56">
        <v>1.63</v>
      </c>
      <c r="C22" s="57" t="str">
        <f t="shared" si="0"/>
        <v>2 CE 4</v>
      </c>
      <c r="D22" s="60">
        <f t="shared" si="1"/>
        <v>0.61349693251533743</v>
      </c>
      <c r="E22" s="57" t="str">
        <f t="shared" si="2"/>
        <v>4 CE 2</v>
      </c>
    </row>
    <row r="23" spans="1:6" ht="15.75" thickBot="1" x14ac:dyDescent="0.3">
      <c r="A23" s="52">
        <v>5</v>
      </c>
      <c r="B23" s="56">
        <v>1.9</v>
      </c>
      <c r="C23" s="57" t="str">
        <f t="shared" si="0"/>
        <v>2 CE 5</v>
      </c>
      <c r="D23" s="60">
        <f t="shared" si="1"/>
        <v>0.52631578947368418</v>
      </c>
      <c r="E23" s="57" t="str">
        <f t="shared" si="2"/>
        <v>5 CE 2</v>
      </c>
    </row>
    <row r="24" spans="1:6" ht="15.75" thickBot="1" x14ac:dyDescent="0.3">
      <c r="A24" s="52">
        <v>6</v>
      </c>
      <c r="B24" s="52">
        <v>2.16</v>
      </c>
      <c r="C24" s="58" t="str">
        <f t="shared" si="0"/>
        <v>2 CE 6</v>
      </c>
      <c r="D24" s="61">
        <f t="shared" si="1"/>
        <v>0.46296296296296291</v>
      </c>
      <c r="E24" s="58" t="str">
        <f t="shared" si="2"/>
        <v>6 CE 2</v>
      </c>
    </row>
    <row r="25" spans="1:6" ht="15.75" thickBot="1" x14ac:dyDescent="0.3">
      <c r="A25" s="26"/>
      <c r="B25" s="27"/>
      <c r="C25" s="25"/>
    </row>
    <row r="26" spans="1:6" x14ac:dyDescent="0.25">
      <c r="A26" s="3"/>
    </row>
  </sheetData>
  <mergeCells count="13">
    <mergeCell ref="A12:B12"/>
    <mergeCell ref="A17:B17"/>
    <mergeCell ref="A3:B5"/>
    <mergeCell ref="C3:E3"/>
    <mergeCell ref="C4:C5"/>
    <mergeCell ref="D4:E4"/>
    <mergeCell ref="C6:E6"/>
    <mergeCell ref="A7:B7"/>
    <mergeCell ref="A1:F1"/>
    <mergeCell ref="A8:B8"/>
    <mergeCell ref="A9:B9"/>
    <mergeCell ref="A10:B10"/>
    <mergeCell ref="C11:E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5"/>
  <sheetViews>
    <sheetView workbookViewId="0">
      <selection activeCell="G21" sqref="G21"/>
    </sheetView>
  </sheetViews>
  <sheetFormatPr defaultRowHeight="15" x14ac:dyDescent="0.25"/>
  <cols>
    <col min="4" max="5" width="11.42578125" bestFit="1" customWidth="1"/>
  </cols>
  <sheetData>
    <row r="2" spans="2:9" x14ac:dyDescent="0.25">
      <c r="B2" s="3" t="s">
        <v>86</v>
      </c>
    </row>
    <row r="3" spans="2:9" x14ac:dyDescent="0.25">
      <c r="B3" s="3" t="s">
        <v>87</v>
      </c>
    </row>
    <row r="4" spans="2:9" ht="15.75" thickBot="1" x14ac:dyDescent="0.3">
      <c r="B4" s="3" t="s">
        <v>88</v>
      </c>
    </row>
    <row r="5" spans="2:9" ht="15.75" thickBot="1" x14ac:dyDescent="0.3">
      <c r="D5" s="28" t="s">
        <v>89</v>
      </c>
      <c r="E5" s="29" t="s">
        <v>90</v>
      </c>
      <c r="F5" s="29" t="s">
        <v>91</v>
      </c>
      <c r="G5" s="29" t="s">
        <v>92</v>
      </c>
      <c r="H5" s="29" t="s">
        <v>93</v>
      </c>
      <c r="I5" s="29" t="s">
        <v>94</v>
      </c>
    </row>
    <row r="6" spans="2:9" ht="15.75" thickBot="1" x14ac:dyDescent="0.3">
      <c r="B6" s="44" t="s">
        <v>89</v>
      </c>
      <c r="C6" s="30" t="s">
        <v>95</v>
      </c>
      <c r="D6" s="31"/>
      <c r="E6" s="31"/>
      <c r="F6" s="31"/>
      <c r="G6" s="31"/>
      <c r="H6" s="31"/>
      <c r="I6" s="31"/>
    </row>
    <row r="7" spans="2:9" ht="15.75" thickBot="1" x14ac:dyDescent="0.3">
      <c r="B7" s="45"/>
      <c r="C7" s="32" t="s">
        <v>96</v>
      </c>
      <c r="D7" s="31"/>
      <c r="E7" s="31"/>
      <c r="F7" s="31"/>
      <c r="G7" s="31"/>
      <c r="H7" s="31"/>
      <c r="I7" s="31"/>
    </row>
    <row r="8" spans="2:9" ht="15.75" thickBot="1" x14ac:dyDescent="0.3">
      <c r="B8" s="46"/>
      <c r="C8" s="32" t="s">
        <v>97</v>
      </c>
      <c r="D8" s="31"/>
      <c r="E8" s="31"/>
      <c r="F8" s="31"/>
      <c r="G8" s="31"/>
      <c r="H8" s="31"/>
      <c r="I8" s="31"/>
    </row>
    <row r="9" spans="2:9" ht="15.75" thickBot="1" x14ac:dyDescent="0.3">
      <c r="B9" s="44" t="s">
        <v>90</v>
      </c>
      <c r="C9" s="33" t="s">
        <v>95</v>
      </c>
      <c r="D9" s="33">
        <v>0.3</v>
      </c>
      <c r="E9" s="31"/>
      <c r="F9" s="31"/>
      <c r="G9" s="31"/>
      <c r="H9" s="31"/>
      <c r="I9" s="31"/>
    </row>
    <row r="10" spans="2:9" ht="15.75" thickBot="1" x14ac:dyDescent="0.3">
      <c r="B10" s="45"/>
      <c r="C10" s="32" t="s">
        <v>96</v>
      </c>
      <c r="D10" s="33" t="s">
        <v>170</v>
      </c>
      <c r="E10" s="31"/>
      <c r="F10" s="31"/>
      <c r="G10" s="31"/>
      <c r="H10" s="31"/>
      <c r="I10" s="31"/>
    </row>
    <row r="11" spans="2:9" ht="15.75" thickBot="1" x14ac:dyDescent="0.3">
      <c r="B11" s="46"/>
      <c r="C11" s="32" t="s">
        <v>97</v>
      </c>
      <c r="D11" s="33">
        <v>0.28000000000000003</v>
      </c>
      <c r="E11" s="31"/>
      <c r="F11" s="31"/>
      <c r="G11" s="31"/>
      <c r="H11" s="31"/>
      <c r="I11" s="31"/>
    </row>
    <row r="12" spans="2:9" ht="15.75" thickBot="1" x14ac:dyDescent="0.3">
      <c r="B12" s="44" t="s">
        <v>91</v>
      </c>
      <c r="C12" s="33" t="s">
        <v>95</v>
      </c>
      <c r="D12" s="33"/>
      <c r="E12" s="33"/>
      <c r="F12" s="31"/>
      <c r="G12" s="31"/>
      <c r="H12" s="31"/>
      <c r="I12" s="31"/>
    </row>
    <row r="13" spans="2:9" ht="15.75" thickBot="1" x14ac:dyDescent="0.3">
      <c r="B13" s="45"/>
      <c r="C13" s="32" t="s">
        <v>96</v>
      </c>
      <c r="D13" s="33" t="s">
        <v>170</v>
      </c>
      <c r="E13" s="33">
        <v>-0.02</v>
      </c>
      <c r="F13" s="31"/>
      <c r="G13" s="31"/>
      <c r="H13" s="31"/>
      <c r="I13" s="31"/>
    </row>
    <row r="14" spans="2:9" ht="15.75" thickBot="1" x14ac:dyDescent="0.3">
      <c r="B14" s="46"/>
      <c r="C14" s="32" t="s">
        <v>97</v>
      </c>
      <c r="D14" s="33"/>
      <c r="E14" s="33"/>
      <c r="F14" s="31"/>
      <c r="G14" s="31"/>
      <c r="H14" s="31"/>
      <c r="I14" s="31"/>
    </row>
    <row r="15" spans="2:9" ht="15.75" thickBot="1" x14ac:dyDescent="0.3">
      <c r="B15" s="44" t="s">
        <v>92</v>
      </c>
      <c r="C15" s="33" t="s">
        <v>95</v>
      </c>
      <c r="D15" s="33"/>
      <c r="E15" s="33"/>
      <c r="F15" s="33"/>
      <c r="G15" s="31"/>
      <c r="H15" s="31"/>
      <c r="I15" s="31"/>
    </row>
    <row r="16" spans="2:9" ht="15.75" thickBot="1" x14ac:dyDescent="0.3">
      <c r="B16" s="45"/>
      <c r="C16" s="32" t="s">
        <v>96</v>
      </c>
      <c r="D16" s="33" t="s">
        <v>170</v>
      </c>
      <c r="E16" s="33">
        <v>0.99</v>
      </c>
      <c r="F16" s="33"/>
      <c r="G16" s="31"/>
      <c r="H16" s="31"/>
      <c r="I16" s="31"/>
    </row>
    <row r="17" spans="2:9" ht="15.75" thickBot="1" x14ac:dyDescent="0.3">
      <c r="B17" s="46"/>
      <c r="C17" s="32" t="s">
        <v>97</v>
      </c>
      <c r="D17" s="33"/>
      <c r="E17" s="33"/>
      <c r="F17" s="33"/>
      <c r="G17" s="31"/>
      <c r="H17" s="31"/>
      <c r="I17" s="31"/>
    </row>
    <row r="18" spans="2:9" ht="15.75" thickBot="1" x14ac:dyDescent="0.3">
      <c r="B18" s="44" t="s">
        <v>93</v>
      </c>
      <c r="C18" s="33" t="s">
        <v>95</v>
      </c>
      <c r="D18" s="33"/>
      <c r="E18" s="33"/>
      <c r="F18" s="33"/>
      <c r="G18" s="33"/>
      <c r="H18" s="31"/>
      <c r="I18" s="31"/>
    </row>
    <row r="19" spans="2:9" ht="15.75" thickBot="1" x14ac:dyDescent="0.3">
      <c r="B19" s="45"/>
      <c r="C19" s="32" t="s">
        <v>96</v>
      </c>
      <c r="D19" s="33" t="s">
        <v>170</v>
      </c>
      <c r="E19" s="33"/>
      <c r="F19" s="33"/>
      <c r="G19" s="33"/>
      <c r="H19" s="31"/>
      <c r="I19" s="31"/>
    </row>
    <row r="20" spans="2:9" ht="15.75" thickBot="1" x14ac:dyDescent="0.3">
      <c r="B20" s="46"/>
      <c r="C20" s="32" t="s">
        <v>97</v>
      </c>
      <c r="D20" s="33"/>
      <c r="E20" s="33"/>
      <c r="F20" s="33"/>
      <c r="G20" s="33"/>
      <c r="H20" s="31"/>
      <c r="I20" s="31"/>
    </row>
    <row r="21" spans="2:9" ht="15.75" thickBot="1" x14ac:dyDescent="0.3">
      <c r="B21" s="44" t="s">
        <v>94</v>
      </c>
      <c r="C21" s="33" t="s">
        <v>95</v>
      </c>
      <c r="D21" s="33"/>
      <c r="E21" s="33"/>
      <c r="F21" s="33"/>
      <c r="G21" s="33"/>
      <c r="H21" s="33"/>
      <c r="I21" s="31"/>
    </row>
    <row r="22" spans="2:9" ht="15.75" thickBot="1" x14ac:dyDescent="0.3">
      <c r="B22" s="45"/>
      <c r="C22" s="32" t="s">
        <v>96</v>
      </c>
      <c r="D22" s="33" t="s">
        <v>170</v>
      </c>
      <c r="E22" s="33" t="s">
        <v>170</v>
      </c>
      <c r="F22" s="33" t="s">
        <v>170</v>
      </c>
      <c r="G22" s="33" t="s">
        <v>170</v>
      </c>
      <c r="H22" s="33" t="s">
        <v>170</v>
      </c>
      <c r="I22" s="31"/>
    </row>
    <row r="23" spans="2:9" ht="15.75" thickBot="1" x14ac:dyDescent="0.3">
      <c r="B23" s="46"/>
      <c r="C23" s="32" t="s">
        <v>97</v>
      </c>
      <c r="D23" s="33" t="s">
        <v>170</v>
      </c>
      <c r="E23" s="33"/>
      <c r="F23" s="33"/>
      <c r="G23" s="33"/>
      <c r="H23" s="33"/>
      <c r="I23" s="31"/>
    </row>
    <row r="24" spans="2:9" x14ac:dyDescent="0.25">
      <c r="B24" s="3"/>
    </row>
    <row r="25" spans="2:9" x14ac:dyDescent="0.25">
      <c r="B25" s="3"/>
    </row>
  </sheetData>
  <mergeCells count="6">
    <mergeCell ref="B21:B23"/>
    <mergeCell ref="B6:B8"/>
    <mergeCell ref="B9:B11"/>
    <mergeCell ref="B12:B14"/>
    <mergeCell ref="B15:B17"/>
    <mergeCell ref="B18:B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7" zoomScale="190" zoomScaleNormal="190" workbookViewId="0">
      <selection activeCell="D4" sqref="D4"/>
    </sheetView>
  </sheetViews>
  <sheetFormatPr defaultRowHeight="15" x14ac:dyDescent="0.25"/>
  <sheetData>
    <row r="1" spans="1:7" x14ac:dyDescent="0.25">
      <c r="A1" s="4" t="s">
        <v>67</v>
      </c>
    </row>
    <row r="2" spans="1:7" x14ac:dyDescent="0.25">
      <c r="A2" s="4" t="s">
        <v>110</v>
      </c>
    </row>
    <row r="3" spans="1:7" x14ac:dyDescent="0.25">
      <c r="A3" s="4" t="s">
        <v>68</v>
      </c>
    </row>
    <row r="4" spans="1:7" x14ac:dyDescent="0.25">
      <c r="A4" s="4" t="s">
        <v>129</v>
      </c>
    </row>
    <row r="5" spans="1:7" x14ac:dyDescent="0.25">
      <c r="A5" s="4"/>
    </row>
    <row r="6" spans="1:7" x14ac:dyDescent="0.25">
      <c r="C6" t="s">
        <v>111</v>
      </c>
    </row>
    <row r="7" spans="1:7" x14ac:dyDescent="0.25">
      <c r="B7">
        <v>170</v>
      </c>
      <c r="C7">
        <f>(B7-172)/20</f>
        <v>-0.1</v>
      </c>
      <c r="E7" t="s">
        <v>115</v>
      </c>
    </row>
    <row r="8" spans="1:7" x14ac:dyDescent="0.25">
      <c r="B8">
        <v>177</v>
      </c>
      <c r="C8" s="25">
        <f>(B8-172)/20</f>
        <v>0.25</v>
      </c>
      <c r="E8" s="25" t="s">
        <v>116</v>
      </c>
    </row>
    <row r="10" spans="1:7" x14ac:dyDescent="0.25">
      <c r="C10" t="s">
        <v>112</v>
      </c>
      <c r="E10" t="s">
        <v>113</v>
      </c>
      <c r="F10">
        <v>0.53982783727702899</v>
      </c>
    </row>
    <row r="11" spans="1:7" x14ac:dyDescent="0.25">
      <c r="C11" t="s">
        <v>114</v>
      </c>
      <c r="F11">
        <f>1-F10</f>
        <v>0.46017216272297101</v>
      </c>
    </row>
    <row r="12" spans="1:7" x14ac:dyDescent="0.25">
      <c r="C12" t="s">
        <v>117</v>
      </c>
      <c r="G12">
        <f>F11</f>
        <v>0.46017216272297101</v>
      </c>
    </row>
    <row r="14" spans="1:7" x14ac:dyDescent="0.25">
      <c r="C14" t="s">
        <v>118</v>
      </c>
      <c r="F14" s="25">
        <v>0.5987063256829237</v>
      </c>
    </row>
    <row r="16" spans="1:7" x14ac:dyDescent="0.25">
      <c r="C16" t="s">
        <v>119</v>
      </c>
      <c r="G16">
        <f>F14-G12</f>
        <v>0.13853416295995269</v>
      </c>
    </row>
    <row r="17" spans="3:7" x14ac:dyDescent="0.25">
      <c r="C17" t="s">
        <v>120</v>
      </c>
      <c r="G17">
        <f>G16</f>
        <v>0.13853416295995269</v>
      </c>
    </row>
    <row r="18" spans="3:7" x14ac:dyDescent="0.25">
      <c r="C18" s="48" t="s">
        <v>122</v>
      </c>
      <c r="D18" s="47" t="s">
        <v>121</v>
      </c>
    </row>
    <row r="20" spans="3:7" x14ac:dyDescent="0.25">
      <c r="C20" t="s">
        <v>123</v>
      </c>
    </row>
    <row r="21" spans="3:7" x14ac:dyDescent="0.25">
      <c r="C21" t="s">
        <v>124</v>
      </c>
      <c r="D21" t="s">
        <v>125</v>
      </c>
      <c r="E21">
        <f>F14</f>
        <v>0.5987063256829237</v>
      </c>
    </row>
    <row r="22" spans="3:7" x14ac:dyDescent="0.25">
      <c r="C22" t="s">
        <v>126</v>
      </c>
      <c r="E22">
        <f>1-E21</f>
        <v>0.4012936743170763</v>
      </c>
    </row>
    <row r="23" spans="3:7" x14ac:dyDescent="0.25">
      <c r="C23" t="s">
        <v>127</v>
      </c>
    </row>
    <row r="24" spans="3:7" x14ac:dyDescent="0.25">
      <c r="C24"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13</vt:i4>
      </vt:variant>
    </vt:vector>
  </HeadingPairs>
  <TitlesOfParts>
    <vt:vector size="13" baseType="lpstr">
      <vt:lpstr>interv confid</vt:lpstr>
      <vt:lpstr>regressione</vt:lpstr>
      <vt:lpstr>cramer</vt:lpstr>
      <vt:lpstr>covarianza e correlazione</vt:lpstr>
      <vt:lpstr>concentrazione</vt:lpstr>
      <vt:lpstr>istogramma</vt:lpstr>
      <vt:lpstr>SDE</vt:lpstr>
      <vt:lpstr>associazione</vt:lpstr>
      <vt:lpstr>esercizio sulla distrib normale</vt:lpstr>
      <vt:lpstr>eta quadro</vt:lpstr>
      <vt:lpstr>eta quadro e int confid</vt:lpstr>
      <vt:lpstr>rapp conc ord e non inbase a x</vt:lpstr>
      <vt:lpstr>Foglio2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Maltagliati</dc:creator>
  <cp:lastModifiedBy>Csiaf-Novoli</cp:lastModifiedBy>
  <dcterms:created xsi:type="dcterms:W3CDTF">2017-07-05T07:48:36Z</dcterms:created>
  <dcterms:modified xsi:type="dcterms:W3CDTF">2017-12-06T11:02:14Z</dcterms:modified>
</cp:coreProperties>
</file>