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65506" windowWidth="12390" windowHeight="729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<sst xmlns="http://schemas.openxmlformats.org/spreadsheetml/2006/main" count="1188" uniqueCount="539">
  <si>
    <t>Table 2.  Primary data sources and calculations for the valuation estimates, by biome and service type.</t>
  </si>
  <si>
    <t>Converted</t>
  </si>
  <si>
    <t>GNP</t>
  </si>
  <si>
    <t>PurP</t>
  </si>
  <si>
    <t>Consumer</t>
  </si>
  <si>
    <t>Standarized</t>
  </si>
  <si>
    <t>Primary</t>
  </si>
  <si>
    <t>GNP/</t>
  </si>
  <si>
    <t>Unit</t>
  </si>
  <si>
    <t>Year of</t>
  </si>
  <si>
    <t>Price</t>
  </si>
  <si>
    <t>Unit value</t>
  </si>
  <si>
    <t>Unit Value</t>
  </si>
  <si>
    <t>Biome</t>
  </si>
  <si>
    <t>Service</t>
  </si>
  <si>
    <t>References</t>
  </si>
  <si>
    <t>Methods</t>
  </si>
  <si>
    <t>Location</t>
  </si>
  <si>
    <t>capita</t>
  </si>
  <si>
    <t>values</t>
  </si>
  <si>
    <t>estimate</t>
  </si>
  <si>
    <t>Inflator</t>
  </si>
  <si>
    <t>$ ha-1 yr-1</t>
  </si>
  <si>
    <t>low</t>
  </si>
  <si>
    <t>high</t>
  </si>
  <si>
    <t>Average</t>
  </si>
  <si>
    <t>Open Ocean (33,200 million ha)</t>
  </si>
  <si>
    <t>Gas Regulation</t>
  </si>
  <si>
    <t>this paper, see notes</t>
  </si>
  <si>
    <t>¯ economic activity</t>
  </si>
  <si>
    <t>World</t>
  </si>
  <si>
    <t>$38.3/ha</t>
  </si>
  <si>
    <t>Nutrient Cycling</t>
  </si>
  <si>
    <t>this paper,see notes</t>
  </si>
  <si>
    <t>Replacement cost</t>
  </si>
  <si>
    <t>$62.1-174/ha</t>
  </si>
  <si>
    <t>62.1-174</t>
  </si>
  <si>
    <t>Biological Control</t>
  </si>
  <si>
    <t>$5/ha</t>
  </si>
  <si>
    <t>Food Production</t>
  </si>
  <si>
    <t>Market value</t>
  </si>
  <si>
    <t>$15/ha</t>
  </si>
  <si>
    <t>Raw Materials</t>
  </si>
  <si>
    <t>Limestone production</t>
  </si>
  <si>
    <t>Cultural Value</t>
  </si>
  <si>
    <t>Real estate value</t>
  </si>
  <si>
    <t>U.S. and assumptions about rest of world</t>
  </si>
  <si>
    <t>Total</t>
  </si>
  <si>
    <t>Estuaries (180 million ha)</t>
  </si>
  <si>
    <t>Disturbance Regulation</t>
  </si>
  <si>
    <t>Thibodeau &amp; Ostro (1981)</t>
  </si>
  <si>
    <t>damage prevention</t>
  </si>
  <si>
    <t>Netherlands</t>
  </si>
  <si>
    <t>de Groot (1992)</t>
  </si>
  <si>
    <t>replacement cost</t>
  </si>
  <si>
    <t>global</t>
  </si>
  <si>
    <t>Pimentel et al (1996)</t>
  </si>
  <si>
    <t>Habitat/Refugia</t>
  </si>
  <si>
    <t xml:space="preserve"> - nursery</t>
  </si>
  <si>
    <t>market price</t>
  </si>
  <si>
    <t xml:space="preserve"> </t>
  </si>
  <si>
    <t>commercial fishing/hunting</t>
  </si>
  <si>
    <t>Gren &amp; Soderqvist (1994)</t>
  </si>
  <si>
    <t>regional income</t>
  </si>
  <si>
    <t>Italy</t>
  </si>
  <si>
    <t>mussel culture</t>
  </si>
  <si>
    <t>commercial fishing</t>
  </si>
  <si>
    <t>sandshells</t>
  </si>
  <si>
    <t>Recreation</t>
  </si>
  <si>
    <t>hunting/fishing</t>
  </si>
  <si>
    <t>non- consumptive</t>
  </si>
  <si>
    <t>Cultural</t>
  </si>
  <si>
    <t>WTP</t>
  </si>
  <si>
    <t>scientific use</t>
  </si>
  <si>
    <t>Total Ecosystem</t>
  </si>
  <si>
    <t>primary production</t>
  </si>
  <si>
    <t>Costanza &amp; Farber (1984)</t>
  </si>
  <si>
    <t>energy analysis</t>
  </si>
  <si>
    <t>USA</t>
  </si>
  <si>
    <t>Seagrass/Algae Beds (200 million ha)</t>
  </si>
  <si>
    <t>10,000-28,000</t>
  </si>
  <si>
    <t>Market value of algae</t>
  </si>
  <si>
    <t>Coral Reefs (62 million ha)</t>
  </si>
  <si>
    <t>Disturbance regulation</t>
  </si>
  <si>
    <t>Spurgeon (1992)</t>
  </si>
  <si>
    <t>Replacement costs</t>
  </si>
  <si>
    <t>Phillipine</t>
  </si>
  <si>
    <t>30.5 e9</t>
  </si>
  <si>
    <t>Aubanel (1993)</t>
  </si>
  <si>
    <t>10 million / km</t>
  </si>
  <si>
    <t>Waste treatment</t>
  </si>
  <si>
    <t>Galapagos</t>
  </si>
  <si>
    <t>58/ha/yr</t>
  </si>
  <si>
    <t>Biological control</t>
  </si>
  <si>
    <t>Shadow price 10% of total dep.</t>
  </si>
  <si>
    <t>4.9/ha/yr</t>
  </si>
  <si>
    <t>Conservation value</t>
  </si>
  <si>
    <t>7/ha/yr</t>
  </si>
  <si>
    <t>Food production</t>
  </si>
  <si>
    <t>Dixon and Hodgson (1988)</t>
  </si>
  <si>
    <t>CBA, gross revenues</t>
  </si>
  <si>
    <t>$46 million per 10 yrs</t>
  </si>
  <si>
    <t>Food fish</t>
  </si>
  <si>
    <t>McAllister (1980)</t>
  </si>
  <si>
    <t>Gross revenues</t>
  </si>
  <si>
    <t>Philippines</t>
  </si>
  <si>
    <t>Fish and lobster</t>
  </si>
  <si>
    <t>0.7/ha/yr</t>
  </si>
  <si>
    <t>Construction; sand &amp; gravel</t>
  </si>
  <si>
    <t>5.2/ha/yr</t>
  </si>
  <si>
    <t>Ornaments/black coral (Forbidden activity)</t>
  </si>
  <si>
    <t>0.4/ha/yr</t>
  </si>
  <si>
    <t>Aquarium trade</t>
  </si>
  <si>
    <t>Hoagland et al. (1995)</t>
  </si>
  <si>
    <t>20-40 Million/yr</t>
  </si>
  <si>
    <t>10 million/yr</t>
  </si>
  <si>
    <t>Harvest</t>
  </si>
  <si>
    <t>External costs</t>
  </si>
  <si>
    <t>80 million/yr</t>
  </si>
  <si>
    <t>Parks</t>
  </si>
  <si>
    <t>Direct revenues</t>
  </si>
  <si>
    <t>Florida, USA</t>
  </si>
  <si>
    <t>47.6 for 2 parks</t>
  </si>
  <si>
    <t>Pearce and de Moran (1994), Carter et al. (1987)</t>
  </si>
  <si>
    <t>NPV current expenditure</t>
  </si>
  <si>
    <t>Australia</t>
  </si>
  <si>
    <t>$1 billion Aus</t>
  </si>
  <si>
    <t>Coral reef recreation</t>
  </si>
  <si>
    <t>Consumer surplus TCS</t>
  </si>
  <si>
    <t>$8 Aus per adult</t>
  </si>
  <si>
    <t>Expenditures</t>
  </si>
  <si>
    <t>Tahiti, Moorea</t>
  </si>
  <si>
    <t>&gt;30 million/4900 ha</t>
  </si>
  <si>
    <t>Diving</t>
  </si>
  <si>
    <t>Dixon et al. (1992)</t>
  </si>
  <si>
    <t>Gross revenues + WTP</t>
  </si>
  <si>
    <t>Bonaire</t>
  </si>
  <si>
    <t>23.2 million revenues; 0.5 million consumer</t>
  </si>
  <si>
    <t>Sustainable recreation</t>
  </si>
  <si>
    <t>Estimated revenues</t>
  </si>
  <si>
    <t>15/ha/yr</t>
  </si>
  <si>
    <t>Spiritual</t>
  </si>
  <si>
    <t>Donations</t>
  </si>
  <si>
    <t>0.015/ha/yr</t>
  </si>
  <si>
    <t>Books/films</t>
  </si>
  <si>
    <t>Market</t>
  </si>
  <si>
    <t>0.02/ha/yr</t>
  </si>
  <si>
    <t>Education/research</t>
  </si>
  <si>
    <t>Continental Shelves (2,660 million ha)</t>
  </si>
  <si>
    <t>1,760/ha</t>
  </si>
  <si>
    <t>Houde &amp; Rutherford (1993)</t>
  </si>
  <si>
    <t>Market Value</t>
  </si>
  <si>
    <t>39/ha</t>
  </si>
  <si>
    <t>68/ha</t>
  </si>
  <si>
    <t>Tropical Forest (1900 million ha)</t>
  </si>
  <si>
    <t>Climate Regulation</t>
  </si>
  <si>
    <t>Kramer et. al. (1992)</t>
  </si>
  <si>
    <t>Amazon</t>
  </si>
  <si>
    <t>1625/ha</t>
  </si>
  <si>
    <t>Pearce et. al. (1994)</t>
  </si>
  <si>
    <t>Costa Rica</t>
  </si>
  <si>
    <t>3046/ha</t>
  </si>
  <si>
    <t>Indonesia</t>
  </si>
  <si>
    <t>2740.5/ha</t>
  </si>
  <si>
    <t>Krutilla 1991</t>
  </si>
  <si>
    <t>marginal costs of reduced emissions</t>
  </si>
  <si>
    <t>Malaysia</t>
  </si>
  <si>
    <t>4200/ha</t>
  </si>
  <si>
    <t>Kumari 1995</t>
  </si>
  <si>
    <t>damage avoided cost</t>
  </si>
  <si>
    <t>3253.51/ha</t>
  </si>
  <si>
    <t>1862/ha</t>
  </si>
  <si>
    <t>Malaysia (peninslar)</t>
  </si>
  <si>
    <t>2449/ha</t>
  </si>
  <si>
    <t>Mexico</t>
  </si>
  <si>
    <t>2025/ha</t>
  </si>
  <si>
    <t>Pearce and Moran (1994)</t>
  </si>
  <si>
    <t>$104/ha/yr</t>
  </si>
  <si>
    <t>$456/ha/yr</t>
  </si>
  <si>
    <t>Adger et. al. (1995)</t>
  </si>
  <si>
    <t>Avoided Damage</t>
  </si>
  <si>
    <t>$78/ha/yr</t>
  </si>
  <si>
    <t>Disturbance Regualation</t>
  </si>
  <si>
    <t>Ruitenbeek 1989</t>
  </si>
  <si>
    <t>TEV</t>
  </si>
  <si>
    <t>Cameroon</t>
  </si>
  <si>
    <t>Water Regulation</t>
  </si>
  <si>
    <t>effect on production</t>
  </si>
  <si>
    <t>Adger et al. 1995</t>
  </si>
  <si>
    <t>damage costs</t>
  </si>
  <si>
    <t>Kramer et. al. (1995)</t>
  </si>
  <si>
    <t>Madagascar</t>
  </si>
  <si>
    <t>$904/yr</t>
  </si>
  <si>
    <t>Water Supply</t>
  </si>
  <si>
    <t>Erosion control</t>
  </si>
  <si>
    <t>Magrath and Arans 1989</t>
  </si>
  <si>
    <t>Java</t>
  </si>
  <si>
    <t>Cruz et al. 1988</t>
  </si>
  <si>
    <t>Phillipines</t>
  </si>
  <si>
    <t>Chomitz and Kumari (1995)</t>
  </si>
  <si>
    <t>Avoided Cost</t>
  </si>
  <si>
    <t>Ecuador</t>
  </si>
  <si>
    <t>$54/ha PV</t>
  </si>
  <si>
    <t>Dixon and Hodgson (1992)</t>
  </si>
  <si>
    <t>Lost income</t>
  </si>
  <si>
    <t>$17572000 PV</t>
  </si>
  <si>
    <t>$234-586/ha PV</t>
  </si>
  <si>
    <t>Chopra 1993</t>
  </si>
  <si>
    <t>cost of restoration</t>
  </si>
  <si>
    <t>India</t>
  </si>
  <si>
    <t>Soil Formation</t>
  </si>
  <si>
    <t>Pimentel et al. 1996</t>
  </si>
  <si>
    <t>experimental data</t>
  </si>
  <si>
    <t>Waste Treatment</t>
  </si>
  <si>
    <t>Food</t>
  </si>
  <si>
    <t>Lampietti and Dixon 1995</t>
  </si>
  <si>
    <t>many</t>
  </si>
  <si>
    <t>Pinedo-Vasquez et al. (1992)</t>
  </si>
  <si>
    <t>net revenue</t>
  </si>
  <si>
    <t>Peru</t>
  </si>
  <si>
    <t>Lampietti and Dixon (1995)</t>
  </si>
  <si>
    <t>Net and Gross income</t>
  </si>
  <si>
    <t>?</t>
  </si>
  <si>
    <t>$1-16/ha/yr</t>
  </si>
  <si>
    <t>Godoy et. al. (1993)</t>
  </si>
  <si>
    <t>Net income</t>
  </si>
  <si>
    <t>$20/ha/yr</t>
  </si>
  <si>
    <t>Net Income</t>
  </si>
  <si>
    <t>$330/ha/yr</t>
  </si>
  <si>
    <t>price of alternate technology and market price</t>
  </si>
  <si>
    <t>Brazil</t>
  </si>
  <si>
    <t>$179-230/ha/yr</t>
  </si>
  <si>
    <t>Grimes, Loomis et al (1994)</t>
  </si>
  <si>
    <t>$2306/ha</t>
  </si>
  <si>
    <t>$213.5/ha/yr</t>
  </si>
  <si>
    <t>$117-144/ha/yr</t>
  </si>
  <si>
    <t>$53/ha/yr</t>
  </si>
  <si>
    <t>$116/ha/yr</t>
  </si>
  <si>
    <t>CVM</t>
  </si>
  <si>
    <t>Sri Lanka</t>
  </si>
  <si>
    <t>$50/ha/yr</t>
  </si>
  <si>
    <t>Various</t>
  </si>
  <si>
    <t>$5-$422/ha/yr</t>
  </si>
  <si>
    <t>Genetic Resources</t>
  </si>
  <si>
    <t>Malaysia (Peninsular)</t>
  </si>
  <si>
    <t>Adger et al. (1995)</t>
  </si>
  <si>
    <t>option value</t>
  </si>
  <si>
    <t>$7/ha</t>
  </si>
  <si>
    <t>Belize</t>
  </si>
  <si>
    <t>$36-166/ha/yr</t>
  </si>
  <si>
    <t>Farnworth et. al. (1983)</t>
  </si>
  <si>
    <t>U.S.</t>
  </si>
  <si>
    <t>$1.5/ha/yr</t>
  </si>
  <si>
    <t>CS</t>
  </si>
  <si>
    <t>$0.35/ha/yr</t>
  </si>
  <si>
    <t>Tobias and Mendelsohn 1991</t>
  </si>
  <si>
    <t>Edwards (1991)</t>
  </si>
  <si>
    <t>Hedonic demand</t>
  </si>
  <si>
    <t>Chopra (1993)</t>
  </si>
  <si>
    <t>secondary data on spending</t>
  </si>
  <si>
    <t>Brown and Henry (1993)</t>
  </si>
  <si>
    <t>Kenya</t>
  </si>
  <si>
    <t>Kumari (1995)</t>
  </si>
  <si>
    <t>consumer surplus</t>
  </si>
  <si>
    <t>Echeverria et. al. (1995)</t>
  </si>
  <si>
    <t>$2380263/yr</t>
  </si>
  <si>
    <t>TCM</t>
  </si>
  <si>
    <t>$52/ha/yr</t>
  </si>
  <si>
    <t>$12/ya/yr</t>
  </si>
  <si>
    <t>$174720/yr</t>
  </si>
  <si>
    <t>RUM</t>
  </si>
  <si>
    <t>$93600/yr</t>
  </si>
  <si>
    <t>$253500/yr</t>
  </si>
  <si>
    <t>$8/ha/yr</t>
  </si>
  <si>
    <t>$6.44/ha/yr(1/2)</t>
  </si>
  <si>
    <t>$1.17/ha/yr(1/2)</t>
  </si>
  <si>
    <t>Totals</t>
  </si>
  <si>
    <t>Temperate Forest (2955 million ha)</t>
  </si>
  <si>
    <t>1300/ha</t>
  </si>
  <si>
    <t>$61.5/ha/yr</t>
  </si>
  <si>
    <t>Pimentel et al. (1996)</t>
  </si>
  <si>
    <t>$10-73/ha/yr</t>
  </si>
  <si>
    <t>Raw Materials (timber)</t>
  </si>
  <si>
    <t>Sharma (1992)</t>
  </si>
  <si>
    <t>stumpage value</t>
  </si>
  <si>
    <t>Global</t>
  </si>
  <si>
    <t>Hanley (1989)</t>
  </si>
  <si>
    <t>TCM, TVM</t>
  </si>
  <si>
    <t>Scotland</t>
  </si>
  <si>
    <t>Walsh et al. (1978)</t>
  </si>
  <si>
    <t>aggregate willingness to pay</t>
  </si>
  <si>
    <t>US</t>
  </si>
  <si>
    <t>Pope and Jones (1990)</t>
  </si>
  <si>
    <t>aggregate willingness ot pay</t>
  </si>
  <si>
    <t>$6.44/ha/yr (1/2)</t>
  </si>
  <si>
    <t>Grasslands/Rangelands (3898 million ha)</t>
  </si>
  <si>
    <t>Gas regulation</t>
  </si>
  <si>
    <t>1. CO2</t>
  </si>
  <si>
    <t>Sala and Paruelo (1996)</t>
  </si>
  <si>
    <t>Opportunity cost</t>
  </si>
  <si>
    <t>US central grasslands</t>
  </si>
  <si>
    <t>Burke et al. (1989)</t>
  </si>
  <si>
    <t>Fankhauser and Pearce (1994)</t>
  </si>
  <si>
    <t>2. NOx</t>
  </si>
  <si>
    <t>Mosier et al. (1991)</t>
  </si>
  <si>
    <t>3. CH4</t>
  </si>
  <si>
    <t>Climate regulation</t>
  </si>
  <si>
    <t>Copeland et al. (in press)</t>
  </si>
  <si>
    <t>Nordhaus (1994)</t>
  </si>
  <si>
    <t>Water regulation</t>
  </si>
  <si>
    <t>Jones et al. (1985)</t>
  </si>
  <si>
    <t>Southern High Plains US</t>
  </si>
  <si>
    <t>Sala et al. (1988)</t>
  </si>
  <si>
    <t>Oesterheld et al. (1992)</t>
  </si>
  <si>
    <t>Barrow (1991)</t>
  </si>
  <si>
    <t>Net rent</t>
  </si>
  <si>
    <t>Pimentel (1995)</t>
  </si>
  <si>
    <t xml:space="preserve">Soil formation </t>
  </si>
  <si>
    <t>NE Colorado</t>
  </si>
  <si>
    <t>(C accumulation)</t>
  </si>
  <si>
    <t>Burke et al. (1995)</t>
  </si>
  <si>
    <t>Ihori et al. (1995)</t>
  </si>
  <si>
    <t>Pimentel et al. (1995)</t>
  </si>
  <si>
    <t>Pollination</t>
  </si>
  <si>
    <t>US Dept of Comm (1995)</t>
  </si>
  <si>
    <t xml:space="preserve">US grassland and </t>
  </si>
  <si>
    <t>shrubland states</t>
  </si>
  <si>
    <t>Perrings (1995)</t>
  </si>
  <si>
    <t>1.Hiking/</t>
  </si>
  <si>
    <t>Cowling et al. (1996)</t>
  </si>
  <si>
    <t xml:space="preserve">South African Fynbos </t>
  </si>
  <si>
    <t>ecotourism</t>
  </si>
  <si>
    <t>Higgins et al (1996)</t>
  </si>
  <si>
    <t>2. Hunting</t>
  </si>
  <si>
    <t>Brookshire (1982)</t>
  </si>
  <si>
    <t>Wyoming (USA)</t>
  </si>
  <si>
    <t xml:space="preserve">3. Wildlife </t>
  </si>
  <si>
    <t>Africa</t>
  </si>
  <si>
    <t>viewing</t>
  </si>
  <si>
    <t>Tidal Marsh/Mangroves (165 million ha)</t>
  </si>
  <si>
    <t>Tidal Marsh</t>
  </si>
  <si>
    <t>storm protection</t>
  </si>
  <si>
    <t>Farber &amp; Costanza (1987)</t>
  </si>
  <si>
    <t>damage estimation</t>
  </si>
  <si>
    <t>Costanza et al. (1989)</t>
  </si>
  <si>
    <t xml:space="preserve">       1989(?)</t>
  </si>
  <si>
    <t xml:space="preserve">       1983(?)</t>
  </si>
  <si>
    <t>shoreline prot./erosion control</t>
  </si>
  <si>
    <t>Dugan (1990)</t>
  </si>
  <si>
    <t>replacement costs</t>
  </si>
  <si>
    <t>UK</t>
  </si>
  <si>
    <t>Mangroves</t>
  </si>
  <si>
    <t>Christensen (1982)</t>
  </si>
  <si>
    <t>subst. cost</t>
  </si>
  <si>
    <t>total (org +N+P)</t>
  </si>
  <si>
    <t>Neth</t>
  </si>
  <si>
    <t xml:space="preserve"> -fish + shrimp</t>
  </si>
  <si>
    <t>nursery</t>
  </si>
  <si>
    <t>Thailand</t>
  </si>
  <si>
    <t>Hickman (1990)</t>
  </si>
  <si>
    <t xml:space="preserve">          1978*</t>
  </si>
  <si>
    <t>Gosselink (1974)</t>
  </si>
  <si>
    <t>McNeely (1988)</t>
  </si>
  <si>
    <t xml:space="preserve">          1988*</t>
  </si>
  <si>
    <t>Stroud (1970)</t>
  </si>
  <si>
    <t>dockside price</t>
  </si>
  <si>
    <t xml:space="preserve">      20 -112</t>
  </si>
  <si>
    <t xml:space="preserve">          1970*</t>
  </si>
  <si>
    <t>Lynne&amp; Conroy (1978)</t>
  </si>
  <si>
    <t>Bell (1989)</t>
  </si>
  <si>
    <t xml:space="preserve">       1984(?)</t>
  </si>
  <si>
    <t>shell-fishery</t>
  </si>
  <si>
    <t>Gosselink et al. (1974)</t>
  </si>
  <si>
    <t xml:space="preserve"> -blue crab</t>
  </si>
  <si>
    <t>Lynne et al. (1981)</t>
  </si>
  <si>
    <t>non-commercial fishing</t>
  </si>
  <si>
    <t>trapping/hunting/gathering</t>
  </si>
  <si>
    <t xml:space="preserve">aquaculture/oyster production/shrimp </t>
  </si>
  <si>
    <t>Foster (1978)</t>
  </si>
  <si>
    <t>marg. value</t>
  </si>
  <si>
    <t>Ruitebeek (1988)</t>
  </si>
  <si>
    <t>Hamilton &amp; Snedaker (1984)</t>
  </si>
  <si>
    <t>Trinidad Tobago</t>
  </si>
  <si>
    <t xml:space="preserve">          1984*</t>
  </si>
  <si>
    <t>Fiji</t>
  </si>
  <si>
    <t>indirect (household prod.)</t>
  </si>
  <si>
    <t>market /non market</t>
  </si>
  <si>
    <t>aquaculture</t>
  </si>
  <si>
    <t>Lahman (1989)</t>
  </si>
  <si>
    <t>Nicaragua</t>
  </si>
  <si>
    <t>trapping furbearers</t>
  </si>
  <si>
    <t>charcoal</t>
  </si>
  <si>
    <t xml:space="preserve">      30 - 400</t>
  </si>
  <si>
    <t xml:space="preserve">       1992(?)</t>
  </si>
  <si>
    <t>forest products(Nypa and charcoal)</t>
  </si>
  <si>
    <t xml:space="preserve"> -woodchips/manufacturing</t>
  </si>
  <si>
    <t>market export price</t>
  </si>
  <si>
    <t xml:space="preserve"> - timber</t>
  </si>
  <si>
    <t>non-consump.+ comsump.</t>
  </si>
  <si>
    <t>expend. + user benef.</t>
  </si>
  <si>
    <t>recreation (non-consumptive)</t>
  </si>
  <si>
    <t>Travel Costs</t>
  </si>
  <si>
    <t>Sweeden</t>
  </si>
  <si>
    <t>570 - 1,150</t>
  </si>
  <si>
    <t>hunting/ fishing</t>
  </si>
  <si>
    <t>Gupta &amp; Foster (1975)</t>
  </si>
  <si>
    <t>WTP for recr. land</t>
  </si>
  <si>
    <t xml:space="preserve">      83- 152</t>
  </si>
  <si>
    <t>Bergstrom et al. (1990)</t>
  </si>
  <si>
    <t>actual exp + WTP</t>
  </si>
  <si>
    <t>114+ 27</t>
  </si>
  <si>
    <t>price of recr. land</t>
  </si>
  <si>
    <t>260- 1853</t>
  </si>
  <si>
    <t>recreation/ tourism</t>
  </si>
  <si>
    <t>Gren &amp; Soderquvist (1994)</t>
  </si>
  <si>
    <t>Puerto Rico</t>
  </si>
  <si>
    <t>Lugo &amp; Brinson (1978)</t>
  </si>
  <si>
    <t xml:space="preserve">          1973*</t>
  </si>
  <si>
    <t xml:space="preserve"> Costanza &amp; Farber(1984)</t>
  </si>
  <si>
    <t>128- 1756</t>
  </si>
  <si>
    <t>complete ecosystem</t>
  </si>
  <si>
    <t>Swamps/Floodplains (165 million ha)</t>
  </si>
  <si>
    <t>Swamps</t>
  </si>
  <si>
    <t>carbon sequestration</t>
  </si>
  <si>
    <t>damage avoided</t>
  </si>
  <si>
    <t>M$585</t>
  </si>
  <si>
    <t>flood control</t>
  </si>
  <si>
    <t>This paper, see notes</t>
  </si>
  <si>
    <t>Floodplains</t>
  </si>
  <si>
    <t>flood damage</t>
  </si>
  <si>
    <t>Water Regulaion</t>
  </si>
  <si>
    <t>buffer for irrig. agric. rice padis</t>
  </si>
  <si>
    <t>productivity effect</t>
  </si>
  <si>
    <t>M$66</t>
  </si>
  <si>
    <t>treatment costs (?)</t>
  </si>
  <si>
    <t>Malysia</t>
  </si>
  <si>
    <t>M$230</t>
  </si>
  <si>
    <t>compare w/altern.</t>
  </si>
  <si>
    <t>tertiary treatment (N+P)</t>
  </si>
  <si>
    <t xml:space="preserve"> subst. costs</t>
  </si>
  <si>
    <t xml:space="preserve">        1978 (?)</t>
  </si>
  <si>
    <t>Sweden</t>
  </si>
  <si>
    <t xml:space="preserve">                      239- 585</t>
  </si>
  <si>
    <t>Lant &amp; Roberts (1990)</t>
  </si>
  <si>
    <t xml:space="preserve">WTP for maint. </t>
  </si>
  <si>
    <t>nitrogen sink</t>
  </si>
  <si>
    <t>Austria(Danube)</t>
  </si>
  <si>
    <t>endangered species</t>
  </si>
  <si>
    <t>WTP extrapolated</t>
  </si>
  <si>
    <t>M$45</t>
  </si>
  <si>
    <t>conserv. value</t>
  </si>
  <si>
    <t>Pearce &amp; Moran (1994)</t>
  </si>
  <si>
    <t>preserv. payment</t>
  </si>
  <si>
    <t>man.agreement</t>
  </si>
  <si>
    <t>1986?</t>
  </si>
  <si>
    <t xml:space="preserve">                        21- 34</t>
  </si>
  <si>
    <t>surrigate m. price</t>
  </si>
  <si>
    <t>fish and fodder</t>
  </si>
  <si>
    <t>market prices</t>
  </si>
  <si>
    <t>crop and fish</t>
  </si>
  <si>
    <t>Barbier et al (1991)</t>
  </si>
  <si>
    <t>surr. market?</t>
  </si>
  <si>
    <t xml:space="preserve">          3- 20</t>
  </si>
  <si>
    <t xml:space="preserve"> -timber/rattan/bamboo</t>
  </si>
  <si>
    <t>forest products</t>
  </si>
  <si>
    <t>Los of productiv.</t>
  </si>
  <si>
    <t>Czechoslow.</t>
  </si>
  <si>
    <t>fuelwood</t>
  </si>
  <si>
    <t>sur.market ?</t>
  </si>
  <si>
    <t xml:space="preserve">          2-10</t>
  </si>
  <si>
    <t>wood</t>
  </si>
  <si>
    <t>act. exp + WTP</t>
  </si>
  <si>
    <t>Travel costs</t>
  </si>
  <si>
    <t>M$13</t>
  </si>
  <si>
    <t>Cons. + non-consumptive</t>
  </si>
  <si>
    <t xml:space="preserve"> WTP</t>
  </si>
  <si>
    <t>TC+tot exp</t>
  </si>
  <si>
    <t>Austria</t>
  </si>
  <si>
    <t>400 + 1500</t>
  </si>
  <si>
    <t>Travel cost</t>
  </si>
  <si>
    <t>Austria (Danube)</t>
  </si>
  <si>
    <t>Total cultural</t>
  </si>
  <si>
    <t>WTP for real state</t>
  </si>
  <si>
    <t xml:space="preserve">    170- 579</t>
  </si>
  <si>
    <t>inc. propert. value</t>
  </si>
  <si>
    <t xml:space="preserve">      370- 1185</t>
  </si>
  <si>
    <t>agg. of (5) functs.</t>
  </si>
  <si>
    <t xml:space="preserve">                4190 -12550</t>
  </si>
  <si>
    <t>Odum (1971)</t>
  </si>
  <si>
    <t>energ. analysis</t>
  </si>
  <si>
    <t xml:space="preserve">           1971*</t>
  </si>
  <si>
    <t>ecological values</t>
  </si>
  <si>
    <t xml:space="preserve">          1990*</t>
  </si>
  <si>
    <t>use + non-use values</t>
  </si>
  <si>
    <t xml:space="preserve">   108 - 138</t>
  </si>
  <si>
    <t>Costanza &amp; Farber(1984)</t>
  </si>
  <si>
    <t>Lakes/Rivers (200million ha)</t>
  </si>
  <si>
    <t>hydropower</t>
  </si>
  <si>
    <t>Gibbons (1986)</t>
  </si>
  <si>
    <t>USA/Columbia-Snake</t>
  </si>
  <si>
    <t>$15/ac ft/yr</t>
  </si>
  <si>
    <t>USA/Tennessee</t>
  </si>
  <si>
    <t>$4/ac ft/yr</t>
  </si>
  <si>
    <t>USA/Co</t>
  </si>
  <si>
    <t>$12/ac ft/yr</t>
  </si>
  <si>
    <t>navigation</t>
  </si>
  <si>
    <t>Cost/Benefit</t>
  </si>
  <si>
    <t>$55 - 96/ac ft/yr</t>
  </si>
  <si>
    <t xml:space="preserve">   $1910-3340</t>
  </si>
  <si>
    <t>Subtotal</t>
  </si>
  <si>
    <t>irrigation</t>
  </si>
  <si>
    <t>$ 25- 698/ac ft/yr</t>
  </si>
  <si>
    <t>$100 - 2795</t>
  </si>
  <si>
    <t>$ 18 - 376/ac ft/yr</t>
  </si>
  <si>
    <t>$122- 2594</t>
  </si>
  <si>
    <t>Howe &amp; Easter (1971)</t>
  </si>
  <si>
    <t>USA/Ca</t>
  </si>
  <si>
    <t>$ 10 -100/ac ft/yr</t>
  </si>
  <si>
    <t>$69 -690</t>
  </si>
  <si>
    <t>Industrial</t>
  </si>
  <si>
    <t>$21 - 162/ac ft/yr</t>
  </si>
  <si>
    <t>$85 -650</t>
  </si>
  <si>
    <t>Domestic</t>
  </si>
  <si>
    <t>Tucson</t>
  </si>
  <si>
    <t>$17-89/ac ft/yr</t>
  </si>
  <si>
    <t>$67 - 356</t>
  </si>
  <si>
    <t>Raleigh</t>
  </si>
  <si>
    <t>$24 -142/ac ft/yr</t>
  </si>
  <si>
    <t>$96- 570</t>
  </si>
  <si>
    <t>Toronto</t>
  </si>
  <si>
    <t>$27 - 51/ac ft/yr</t>
  </si>
  <si>
    <t>$109 - 205</t>
  </si>
  <si>
    <t>subtotal</t>
  </si>
  <si>
    <t>BOD Dilution</t>
  </si>
  <si>
    <t>$0.6 -7.0/ac ft/yr</t>
  </si>
  <si>
    <t>$ 1-13</t>
  </si>
  <si>
    <t>Fisheries</t>
  </si>
  <si>
    <t>Postel &amp; Carpenter (1996)</t>
  </si>
  <si>
    <t>Sport Fishing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</si>
</sst>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0.00_)"/>
    <numFmt numFmtId="175" formatCode="0.0"/>
    <numFmt numFmtId="176" formatCode="#,##0.0000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8"/>
      <name val="Helv"/>
      <family val="0"/>
    </font>
    <font>
      <b/>
      <sz val="12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 applyProtection="1">
      <alignment horizontal="left"/>
      <protection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70" fontId="5" fillId="0" borderId="0" xfId="0" applyNumberFormat="1" applyFont="1" applyAlignment="1">
      <alignment/>
    </xf>
    <xf numFmtId="170" fontId="5" fillId="0" borderId="1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left"/>
      <protection/>
    </xf>
    <xf numFmtId="170" fontId="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1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left"/>
    </xf>
    <xf numFmtId="170" fontId="5" fillId="0" borderId="1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170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170" fontId="4" fillId="0" borderId="10" xfId="0" applyNumberFormat="1" applyFont="1" applyBorder="1" applyAlignment="1">
      <alignment horizontal="center"/>
    </xf>
    <xf numFmtId="17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Continuous"/>
    </xf>
    <xf numFmtId="172" fontId="8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left"/>
    </xf>
    <xf numFmtId="172" fontId="5" fillId="0" borderId="0" xfId="0" applyNumberFormat="1" applyFont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4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left"/>
    </xf>
    <xf numFmtId="170" fontId="5" fillId="0" borderId="0" xfId="0" applyNumberFormat="1" applyFont="1" applyAlignment="1">
      <alignment horizontal="left"/>
    </xf>
    <xf numFmtId="170" fontId="5" fillId="0" borderId="11" xfId="0" applyNumberFormat="1" applyFont="1" applyBorder="1" applyAlignment="1">
      <alignment horizontal="left"/>
    </xf>
    <xf numFmtId="172" fontId="5" fillId="0" borderId="0" xfId="0" applyNumberFormat="1" applyFont="1" applyAlignment="1">
      <alignment horizontal="left"/>
    </xf>
    <xf numFmtId="1" fontId="5" fillId="0" borderId="0" xfId="0" applyNumberFormat="1" applyFont="1" applyBorder="1" applyAlignment="1" applyProtection="1">
      <alignment horizontal="left"/>
      <protection/>
    </xf>
    <xf numFmtId="172" fontId="5" fillId="0" borderId="0" xfId="0" applyNumberFormat="1" applyFont="1" applyAlignment="1" applyProtection="1">
      <alignment horizontal="left"/>
      <protection/>
    </xf>
    <xf numFmtId="172" fontId="5" fillId="0" borderId="11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R10" sqref="R10"/>
    </sheetView>
  </sheetViews>
  <sheetFormatPr defaultColWidth="10.75390625" defaultRowHeight="12.75"/>
  <cols>
    <col min="1" max="1" width="4.00390625" style="4" customWidth="1"/>
    <col min="2" max="2" width="1.12109375" style="4" customWidth="1"/>
    <col min="3" max="3" width="26.75390625" style="1" customWidth="1"/>
    <col min="4" max="4" width="23.125" style="1" customWidth="1"/>
    <col min="5" max="5" width="14.75390625" style="1" customWidth="1"/>
    <col min="6" max="6" width="7.625" style="1" customWidth="1"/>
    <col min="7" max="7" width="7.25390625" style="1" customWidth="1"/>
    <col min="8" max="8" width="11.75390625" style="1" customWidth="1"/>
    <col min="9" max="9" width="6.875" style="1" customWidth="1"/>
    <col min="10" max="10" width="9.75390625" style="21" customWidth="1"/>
    <col min="11" max="11" width="11.375" style="67" customWidth="1"/>
    <col min="12" max="12" width="11.375" style="27" customWidth="1"/>
    <col min="13" max="13" width="9.75390625" style="27" customWidth="1"/>
    <col min="14" max="14" width="10.625" style="27" customWidth="1"/>
    <col min="15" max="15" width="10.00390625" style="27" customWidth="1"/>
    <col min="16" max="16" width="9.875" style="0" customWidth="1"/>
    <col min="17" max="45" width="10.75390625" style="0" customWidth="1"/>
    <col min="46" max="16384" width="10.75390625" style="1" customWidth="1"/>
  </cols>
  <sheetData>
    <row r="1" spans="1:45" s="41" customFormat="1" ht="30.75" customHeight="1">
      <c r="A1" s="40" t="s">
        <v>0</v>
      </c>
      <c r="B1" s="40"/>
      <c r="J1" s="42"/>
      <c r="K1" s="70"/>
      <c r="L1" s="43"/>
      <c r="M1" s="43"/>
      <c r="N1" s="43"/>
      <c r="O1" s="2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3" spans="1:45" s="4" customFormat="1" ht="12" customHeight="1">
      <c r="A3" s="5"/>
      <c r="J3" s="18"/>
      <c r="K3" s="85" t="s">
        <v>1</v>
      </c>
      <c r="L3" s="83" t="s">
        <v>2</v>
      </c>
      <c r="M3" s="24"/>
      <c r="N3" s="24"/>
      <c r="O3" s="2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s="4" customFormat="1" ht="12.75">
      <c r="A4" s="5"/>
      <c r="G4" s="4" t="s">
        <v>3</v>
      </c>
      <c r="H4" s="6"/>
      <c r="I4" s="5"/>
      <c r="J4" s="18" t="s">
        <v>4</v>
      </c>
      <c r="K4" s="86">
        <v>1994</v>
      </c>
      <c r="L4" s="83" t="s">
        <v>5</v>
      </c>
      <c r="M4" s="24"/>
      <c r="N4" s="24"/>
      <c r="O4" s="2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s="4" customFormat="1" ht="12.75">
      <c r="A5" s="5"/>
      <c r="D5" s="4" t="s">
        <v>6</v>
      </c>
      <c r="G5" s="4" t="s">
        <v>7</v>
      </c>
      <c r="H5" s="7" t="s">
        <v>8</v>
      </c>
      <c r="I5" s="8" t="s">
        <v>9</v>
      </c>
      <c r="J5" s="19" t="s">
        <v>10</v>
      </c>
      <c r="K5" s="87" t="s">
        <v>11</v>
      </c>
      <c r="L5" s="83" t="s">
        <v>12</v>
      </c>
      <c r="M5" s="24"/>
      <c r="N5" s="24"/>
      <c r="O5" s="2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s="9" customFormat="1" ht="20.25" thickBot="1">
      <c r="A6" s="31" t="s">
        <v>13</v>
      </c>
      <c r="B6" s="68"/>
      <c r="C6" s="32" t="s">
        <v>14</v>
      </c>
      <c r="D6" s="33" t="s">
        <v>15</v>
      </c>
      <c r="E6" s="33" t="s">
        <v>16</v>
      </c>
      <c r="F6" s="33" t="s">
        <v>17</v>
      </c>
      <c r="G6" s="33" t="s">
        <v>18</v>
      </c>
      <c r="H6" s="34" t="s">
        <v>19</v>
      </c>
      <c r="I6" s="35" t="s">
        <v>20</v>
      </c>
      <c r="J6" s="36" t="s">
        <v>21</v>
      </c>
      <c r="K6" s="88" t="s">
        <v>22</v>
      </c>
      <c r="L6" s="84" t="s">
        <v>22</v>
      </c>
      <c r="M6" s="37" t="s">
        <v>23</v>
      </c>
      <c r="N6" s="37" t="s">
        <v>24</v>
      </c>
      <c r="O6" s="37" t="s">
        <v>25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8" spans="1:45" s="9" customFormat="1" ht="15.75" customHeight="1">
      <c r="A8" s="46" t="s">
        <v>26</v>
      </c>
      <c r="B8" s="3"/>
      <c r="C8" s="47"/>
      <c r="D8" s="48"/>
      <c r="E8" s="48"/>
      <c r="F8" s="48"/>
      <c r="G8" s="48"/>
      <c r="H8" s="48"/>
      <c r="I8" s="49"/>
      <c r="J8" s="50"/>
      <c r="K8" s="72"/>
      <c r="L8" s="51"/>
      <c r="M8" s="49"/>
      <c r="N8" s="25"/>
      <c r="O8" s="5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17" customFormat="1" ht="15.75" customHeight="1">
      <c r="A9" s="52"/>
      <c r="B9" s="11"/>
      <c r="C9" s="53"/>
      <c r="D9" s="54"/>
      <c r="E9" s="54"/>
      <c r="F9" s="54"/>
      <c r="G9" s="54"/>
      <c r="H9" s="54"/>
      <c r="I9" s="55"/>
      <c r="J9" s="56"/>
      <c r="K9" s="73"/>
      <c r="L9" s="58"/>
      <c r="M9" s="55"/>
      <c r="N9" s="29"/>
      <c r="O9" s="5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s="17" customFormat="1" ht="15.75" customHeight="1">
      <c r="A10" s="52">
        <v>1</v>
      </c>
      <c r="B10" s="17" t="s">
        <v>27</v>
      </c>
      <c r="C10" s="53"/>
      <c r="D10" s="45" t="s">
        <v>28</v>
      </c>
      <c r="E10" s="45" t="s">
        <v>29</v>
      </c>
      <c r="F10" s="45" t="s">
        <v>30</v>
      </c>
      <c r="G10" s="54"/>
      <c r="H10" s="39" t="s">
        <v>31</v>
      </c>
      <c r="I10" s="59">
        <v>1994</v>
      </c>
      <c r="J10" s="60"/>
      <c r="K10" s="74">
        <v>38.3</v>
      </c>
      <c r="L10" s="28"/>
      <c r="M10" s="61">
        <v>0.61</v>
      </c>
      <c r="N10" s="61">
        <v>76</v>
      </c>
      <c r="O10" s="61">
        <f>AVERAGE(M10:N10)</f>
        <v>38.305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s="17" customFormat="1" ht="15.75" customHeight="1">
      <c r="A11" s="52"/>
      <c r="C11" s="53"/>
      <c r="D11" s="54"/>
      <c r="E11" s="54"/>
      <c r="F11" s="54"/>
      <c r="G11" s="54"/>
      <c r="H11" s="55"/>
      <c r="I11" s="56"/>
      <c r="J11" s="57"/>
      <c r="K11" s="75"/>
      <c r="L11" s="29"/>
      <c r="M11" s="58"/>
      <c r="N11" s="58"/>
      <c r="O11" s="5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17" customFormat="1" ht="15.75" customHeight="1">
      <c r="A12" s="52">
        <v>8</v>
      </c>
      <c r="B12" s="17" t="s">
        <v>32</v>
      </c>
      <c r="C12" s="53"/>
      <c r="D12" s="45" t="s">
        <v>33</v>
      </c>
      <c r="E12" s="45" t="s">
        <v>34</v>
      </c>
      <c r="F12" s="45" t="s">
        <v>30</v>
      </c>
      <c r="G12" s="45"/>
      <c r="H12" s="39" t="s">
        <v>35</v>
      </c>
      <c r="I12" s="59"/>
      <c r="J12" s="60"/>
      <c r="K12" s="74" t="s">
        <v>36</v>
      </c>
      <c r="L12" s="28"/>
      <c r="M12" s="61">
        <v>62.1</v>
      </c>
      <c r="N12" s="61">
        <v>174</v>
      </c>
      <c r="O12" s="61">
        <f>AVERAGE(M12,N12)</f>
        <v>118.05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17" customFormat="1" ht="15.75" customHeight="1">
      <c r="A13" s="52"/>
      <c r="C13" s="54"/>
      <c r="D13" s="45"/>
      <c r="E13" s="45"/>
      <c r="F13" s="45"/>
      <c r="G13" s="45"/>
      <c r="H13" s="39"/>
      <c r="I13" s="59"/>
      <c r="J13" s="60"/>
      <c r="K13" s="74"/>
      <c r="L13" s="28"/>
      <c r="M13" s="61"/>
      <c r="N13" s="61"/>
      <c r="O13" s="6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17" customFormat="1" ht="15.75" customHeight="1">
      <c r="A14" s="52">
        <v>11</v>
      </c>
      <c r="B14" s="17" t="s">
        <v>37</v>
      </c>
      <c r="C14" s="54"/>
      <c r="D14" s="45" t="s">
        <v>33</v>
      </c>
      <c r="E14" s="45" t="s">
        <v>34</v>
      </c>
      <c r="F14" s="45" t="s">
        <v>30</v>
      </c>
      <c r="G14" s="45"/>
      <c r="H14" s="39" t="s">
        <v>38</v>
      </c>
      <c r="I14" s="59"/>
      <c r="J14" s="60"/>
      <c r="K14" s="74">
        <v>5</v>
      </c>
      <c r="L14" s="28"/>
      <c r="M14" s="61">
        <v>5</v>
      </c>
      <c r="N14" s="61">
        <v>5</v>
      </c>
      <c r="O14" s="61">
        <v>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17" customFormat="1" ht="15.75" customHeight="1">
      <c r="A15" s="52"/>
      <c r="C15" s="54"/>
      <c r="D15" s="45"/>
      <c r="E15" s="45"/>
      <c r="F15" s="45"/>
      <c r="G15" s="45"/>
      <c r="H15" s="39"/>
      <c r="I15" s="59"/>
      <c r="J15" s="60"/>
      <c r="K15" s="74"/>
      <c r="L15" s="28"/>
      <c r="M15" s="61"/>
      <c r="N15" s="61"/>
      <c r="O15" s="6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15" ht="12" customHeight="1">
      <c r="A16" s="4">
        <v>13</v>
      </c>
      <c r="B16" s="4" t="s">
        <v>39</v>
      </c>
      <c r="C16" s="4"/>
      <c r="D16" s="45" t="s">
        <v>33</v>
      </c>
      <c r="E16" s="1" t="s">
        <v>40</v>
      </c>
      <c r="F16" s="1" t="s">
        <v>30</v>
      </c>
      <c r="H16" s="38" t="s">
        <v>41</v>
      </c>
      <c r="J16" s="1"/>
      <c r="K16" s="76">
        <v>15</v>
      </c>
      <c r="M16" s="62">
        <v>15</v>
      </c>
      <c r="N16" s="62">
        <v>15</v>
      </c>
      <c r="O16" s="62">
        <v>15</v>
      </c>
    </row>
    <row r="17" spans="3:15" ht="12" customHeight="1">
      <c r="C17" s="4"/>
      <c r="D17" s="45"/>
      <c r="H17" s="38"/>
      <c r="J17" s="1"/>
      <c r="K17" s="76"/>
      <c r="M17" s="1"/>
      <c r="N17" s="1"/>
      <c r="O17" s="62"/>
    </row>
    <row r="18" spans="1:15" ht="12" customHeight="1">
      <c r="A18" s="4">
        <v>14</v>
      </c>
      <c r="B18" s="4" t="s">
        <v>42</v>
      </c>
      <c r="C18" s="4"/>
      <c r="D18" s="45" t="s">
        <v>28</v>
      </c>
      <c r="E18" s="1" t="s">
        <v>43</v>
      </c>
      <c r="F18" s="1" t="s">
        <v>30</v>
      </c>
      <c r="H18" s="63">
        <v>0.08</v>
      </c>
      <c r="J18" s="1"/>
      <c r="K18" s="76">
        <v>0.08</v>
      </c>
      <c r="M18" s="62">
        <v>0.08</v>
      </c>
      <c r="N18" s="62">
        <v>0.08</v>
      </c>
      <c r="O18" s="62">
        <v>0.08</v>
      </c>
    </row>
    <row r="19" spans="3:15" ht="12" customHeight="1">
      <c r="C19" s="4"/>
      <c r="D19" s="45"/>
      <c r="H19" s="38"/>
      <c r="J19" s="1"/>
      <c r="K19" s="76"/>
      <c r="M19" s="1"/>
      <c r="N19" s="1"/>
      <c r="O19" s="62"/>
    </row>
    <row r="20" spans="1:15" ht="12" customHeight="1">
      <c r="A20" s="4">
        <v>17</v>
      </c>
      <c r="B20" s="4" t="s">
        <v>44</v>
      </c>
      <c r="C20" s="4"/>
      <c r="D20" s="1" t="s">
        <v>28</v>
      </c>
      <c r="E20" s="1" t="s">
        <v>45</v>
      </c>
      <c r="F20" s="1" t="s">
        <v>46</v>
      </c>
      <c r="M20" s="66">
        <v>7</v>
      </c>
      <c r="N20" s="66">
        <v>145</v>
      </c>
      <c r="O20" s="66">
        <f>AVERAGE(M20:N20)</f>
        <v>76</v>
      </c>
    </row>
    <row r="21" spans="2:15" ht="12" customHeight="1">
      <c r="B21" s="1"/>
      <c r="M21" s="62"/>
      <c r="N21" s="62"/>
      <c r="O21" s="62"/>
    </row>
    <row r="22" spans="2:15" ht="12" customHeight="1">
      <c r="B22" s="1"/>
      <c r="L22" s="29" t="s">
        <v>47</v>
      </c>
      <c r="M22" s="58">
        <f>SUM(M10:M20)</f>
        <v>89.79</v>
      </c>
      <c r="N22" s="58">
        <f>SUM(N10:N20)</f>
        <v>415.08</v>
      </c>
      <c r="O22" s="58">
        <f>SUM(O10:O20)</f>
        <v>252.435</v>
      </c>
    </row>
    <row r="23" spans="1:14" ht="12" customHeight="1">
      <c r="A23" s="1"/>
      <c r="B23" s="1"/>
      <c r="J23" s="1"/>
      <c r="M23" s="1"/>
      <c r="N23" s="1"/>
    </row>
    <row r="25" spans="1:45" s="3" customFormat="1" ht="15.75">
      <c r="A25" s="65" t="s">
        <v>48</v>
      </c>
      <c r="J25" s="20"/>
      <c r="K25" s="77"/>
      <c r="L25" s="26"/>
      <c r="M25" s="26"/>
      <c r="N25" s="26"/>
      <c r="O25" s="26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2" ht="12.75">
      <c r="A26" s="1"/>
      <c r="B26" s="1"/>
    </row>
    <row r="27" spans="1:3" ht="12.75">
      <c r="A27" s="4">
        <v>3</v>
      </c>
      <c r="B27" s="4" t="s">
        <v>49</v>
      </c>
      <c r="C27" s="4"/>
    </row>
    <row r="28" spans="4:15" ht="12.75">
      <c r="D28" s="1" t="s">
        <v>50</v>
      </c>
      <c r="E28" s="1" t="s">
        <v>51</v>
      </c>
      <c r="F28" s="1" t="s">
        <v>52</v>
      </c>
      <c r="H28" s="1">
        <v>500</v>
      </c>
      <c r="I28" s="1">
        <v>1990</v>
      </c>
      <c r="J28" s="21">
        <f>148.2/130.7</f>
        <v>1.13389441469013</v>
      </c>
      <c r="K28" s="67">
        <f>H28*J28</f>
        <v>566.947207345065</v>
      </c>
      <c r="M28" s="27">
        <f>MIN(K28)</f>
        <v>566.947207345065</v>
      </c>
      <c r="N28" s="27">
        <f>MAX(K28)</f>
        <v>566.947207345065</v>
      </c>
      <c r="O28" s="27">
        <f>AVERAGE(K28)</f>
        <v>566.947207345065</v>
      </c>
    </row>
    <row r="29" ht="12.75">
      <c r="D29" s="1" t="s">
        <v>53</v>
      </c>
    </row>
    <row r="30" spans="1:3" ht="12.75">
      <c r="A30" s="4">
        <v>8</v>
      </c>
      <c r="B30" s="4" t="s">
        <v>32</v>
      </c>
      <c r="C30" s="4"/>
    </row>
    <row r="31" spans="4:15" ht="12.75">
      <c r="D31" s="1" t="s">
        <v>28</v>
      </c>
      <c r="E31" s="1" t="s">
        <v>54</v>
      </c>
      <c r="F31" s="1" t="s">
        <v>55</v>
      </c>
      <c r="H31" s="64">
        <v>12950</v>
      </c>
      <c r="I31" s="1">
        <v>1994</v>
      </c>
      <c r="J31" s="21">
        <v>1</v>
      </c>
      <c r="K31" s="67">
        <v>12950</v>
      </c>
      <c r="M31" s="27">
        <v>11100</v>
      </c>
      <c r="N31" s="27">
        <v>31100</v>
      </c>
      <c r="O31" s="27">
        <f>AVERAGE(M31:N31)</f>
        <v>21100</v>
      </c>
    </row>
    <row r="32" spans="1:2" ht="12.75">
      <c r="A32" s="1"/>
      <c r="B32" s="1"/>
    </row>
    <row r="33" spans="1:2" ht="12.75">
      <c r="A33" s="1"/>
      <c r="B33" s="1"/>
    </row>
    <row r="34" spans="1:2" ht="12.75">
      <c r="A34" s="4">
        <v>11</v>
      </c>
      <c r="B34" s="4" t="s">
        <v>37</v>
      </c>
    </row>
    <row r="35" spans="4:15" ht="12.75">
      <c r="D35" s="1" t="s">
        <v>56</v>
      </c>
      <c r="F35" s="1" t="s">
        <v>55</v>
      </c>
      <c r="H35" s="1">
        <v>78</v>
      </c>
      <c r="I35" s="1">
        <v>1994</v>
      </c>
      <c r="J35" s="21">
        <v>1</v>
      </c>
      <c r="K35" s="67">
        <f>H35*J35</f>
        <v>78</v>
      </c>
      <c r="M35" s="27">
        <f>MIN(K35)</f>
        <v>78</v>
      </c>
      <c r="N35" s="27">
        <f>MAX(K35)</f>
        <v>78</v>
      </c>
      <c r="O35" s="27">
        <f>AVERAGE(K35)</f>
        <v>78</v>
      </c>
    </row>
    <row r="36" spans="1:2" ht="12.75">
      <c r="A36" s="1"/>
      <c r="B36" s="1"/>
    </row>
    <row r="37" spans="1:2" ht="12.75">
      <c r="A37" s="4">
        <v>12</v>
      </c>
      <c r="B37" s="4" t="s">
        <v>57</v>
      </c>
    </row>
    <row r="38" spans="1:15" ht="12.75">
      <c r="A38" s="1"/>
      <c r="B38" s="1"/>
      <c r="C38" s="1" t="s">
        <v>58</v>
      </c>
      <c r="D38" s="1" t="s">
        <v>53</v>
      </c>
      <c r="E38" s="1" t="s">
        <v>59</v>
      </c>
      <c r="F38" s="1" t="s">
        <v>52</v>
      </c>
      <c r="H38" s="1">
        <v>120</v>
      </c>
      <c r="I38" s="1">
        <v>1991</v>
      </c>
      <c r="J38" s="21">
        <f>148.2/136.2</f>
        <v>1.0881057268722467</v>
      </c>
      <c r="K38" s="67">
        <f>H38*J38</f>
        <v>130.5726872246696</v>
      </c>
      <c r="M38" s="27">
        <f>MIN(K38)</f>
        <v>130.5726872246696</v>
      </c>
      <c r="N38" s="27">
        <f>MAX(K38)</f>
        <v>130.5726872246696</v>
      </c>
      <c r="O38" s="27">
        <f>AVERAGE(K38)</f>
        <v>130.5726872246696</v>
      </c>
    </row>
    <row r="39" spans="1:2" ht="12.75">
      <c r="A39" s="1"/>
      <c r="B39" s="1"/>
    </row>
    <row r="40" spans="1:2" ht="12.75">
      <c r="A40" s="4">
        <v>13</v>
      </c>
      <c r="B40" s="4" t="s">
        <v>39</v>
      </c>
    </row>
    <row r="41" spans="1:15" ht="12.75">
      <c r="A41" s="1" t="s">
        <v>60</v>
      </c>
      <c r="B41" s="1"/>
      <c r="C41" s="1" t="s">
        <v>61</v>
      </c>
      <c r="D41" s="1" t="s">
        <v>62</v>
      </c>
      <c r="E41" s="1" t="s">
        <v>63</v>
      </c>
      <c r="F41" s="1" t="s">
        <v>64</v>
      </c>
      <c r="H41" s="1">
        <v>1300</v>
      </c>
      <c r="I41" s="1">
        <v>1993</v>
      </c>
      <c r="J41" s="21">
        <f>144.3/140.9</f>
        <v>1.0241305890702626</v>
      </c>
      <c r="K41" s="67">
        <f>H41*J41</f>
        <v>1331.3697657913413</v>
      </c>
      <c r="O41" s="27" t="s">
        <v>60</v>
      </c>
    </row>
    <row r="42" spans="1:11" ht="12.75">
      <c r="A42" s="1"/>
      <c r="B42" s="1"/>
      <c r="D42" s="1" t="s">
        <v>53</v>
      </c>
      <c r="E42" s="1" t="s">
        <v>59</v>
      </c>
      <c r="F42" s="1" t="s">
        <v>52</v>
      </c>
      <c r="H42" s="1">
        <v>450</v>
      </c>
      <c r="I42" s="1">
        <v>1990</v>
      </c>
      <c r="J42" s="21">
        <f>144.3/132.4</f>
        <v>1.08987915407855</v>
      </c>
      <c r="K42" s="67">
        <f>H42*J42</f>
        <v>490.4456193353475</v>
      </c>
    </row>
    <row r="43" spans="1:14" ht="12.75">
      <c r="A43" s="1"/>
      <c r="B43" s="1"/>
      <c r="C43" s="1" t="s">
        <v>65</v>
      </c>
      <c r="D43" s="1" t="s">
        <v>53</v>
      </c>
      <c r="E43" s="1" t="s">
        <v>59</v>
      </c>
      <c r="F43" s="1" t="s">
        <v>52</v>
      </c>
      <c r="H43" s="1">
        <v>22</v>
      </c>
      <c r="I43" s="1">
        <v>1985</v>
      </c>
      <c r="K43" s="67">
        <v>30</v>
      </c>
      <c r="M43" s="1"/>
      <c r="N43" s="1"/>
    </row>
    <row r="44" spans="1:15" ht="12.75">
      <c r="A44" s="1"/>
      <c r="B44" s="1"/>
      <c r="C44" s="1" t="s">
        <v>66</v>
      </c>
      <c r="D44" s="1" t="s">
        <v>28</v>
      </c>
      <c r="E44" s="1" t="s">
        <v>59</v>
      </c>
      <c r="F44" s="1" t="s">
        <v>30</v>
      </c>
      <c r="H44" s="1">
        <v>233</v>
      </c>
      <c r="K44" s="67">
        <v>233</v>
      </c>
      <c r="M44" s="27">
        <f>MIN(K41:K44)</f>
        <v>30</v>
      </c>
      <c r="N44" s="27">
        <f>MAX(K41:K44)</f>
        <v>1331.3697657913413</v>
      </c>
      <c r="O44" s="27">
        <f>AVERAGE(K41:K44)</f>
        <v>521.2038462816722</v>
      </c>
    </row>
    <row r="45" spans="1:2" ht="12.75">
      <c r="A45" s="1"/>
      <c r="B45" s="1"/>
    </row>
    <row r="46" spans="1:2" ht="12.75">
      <c r="A46" s="4">
        <v>14</v>
      </c>
      <c r="B46" s="4" t="s">
        <v>42</v>
      </c>
    </row>
    <row r="47" spans="1:15" ht="12.75">
      <c r="A47" s="1"/>
      <c r="B47" s="1"/>
      <c r="C47" s="1" t="s">
        <v>67</v>
      </c>
      <c r="D47" s="1" t="s">
        <v>53</v>
      </c>
      <c r="E47" s="1" t="s">
        <v>59</v>
      </c>
      <c r="F47" s="1" t="s">
        <v>52</v>
      </c>
      <c r="H47" s="1">
        <v>25</v>
      </c>
      <c r="I47" s="1">
        <v>1993</v>
      </c>
      <c r="J47" s="21">
        <f>133.8/131.5</f>
        <v>1.0174904942965781</v>
      </c>
      <c r="K47" s="67">
        <f>H47*J47</f>
        <v>25.437262357414454</v>
      </c>
      <c r="M47" s="27">
        <f>MIN(K47)</f>
        <v>25.437262357414454</v>
      </c>
      <c r="N47" s="27">
        <f>MAX(K47)</f>
        <v>25.437262357414454</v>
      </c>
      <c r="O47" s="27">
        <f>AVERAGE(K47)</f>
        <v>25.437262357414454</v>
      </c>
    </row>
    <row r="48" spans="1:2" ht="12.75">
      <c r="A48" s="1"/>
      <c r="B48" s="1"/>
    </row>
    <row r="49" spans="1:2" ht="12.75">
      <c r="A49" s="4">
        <v>16</v>
      </c>
      <c r="B49" s="4" t="s">
        <v>68</v>
      </c>
    </row>
    <row r="50" spans="1:11" ht="12.75">
      <c r="A50" s="1"/>
      <c r="B50" s="1"/>
      <c r="C50" s="1" t="s">
        <v>69</v>
      </c>
      <c r="D50" s="1" t="s">
        <v>62</v>
      </c>
      <c r="E50" s="1" t="s">
        <v>63</v>
      </c>
      <c r="F50" s="1" t="s">
        <v>64</v>
      </c>
      <c r="H50" s="1">
        <v>190</v>
      </c>
      <c r="I50" s="1">
        <v>1993</v>
      </c>
      <c r="J50" s="21">
        <f>148.2/144.5</f>
        <v>1.0256055363321799</v>
      </c>
      <c r="K50" s="67">
        <f>H50*J50</f>
        <v>194.86505190311416</v>
      </c>
    </row>
    <row r="51" spans="1:15" ht="12.75">
      <c r="A51" s="1"/>
      <c r="B51" s="1"/>
      <c r="C51" s="1" t="s">
        <v>70</v>
      </c>
      <c r="D51" s="1" t="s">
        <v>53</v>
      </c>
      <c r="E51" s="1" t="s">
        <v>59</v>
      </c>
      <c r="F51" s="1" t="s">
        <v>52</v>
      </c>
      <c r="H51" s="1">
        <v>500</v>
      </c>
      <c r="I51" s="1">
        <v>1990</v>
      </c>
      <c r="J51" s="21">
        <f>148.2/130.7</f>
        <v>1.13389441469013</v>
      </c>
      <c r="K51" s="67">
        <f>H51*J51</f>
        <v>566.947207345065</v>
      </c>
      <c r="M51" s="27">
        <f>MIN(K50:K51)</f>
        <v>194.86505190311416</v>
      </c>
      <c r="N51" s="27">
        <f>MAX(K50:K51)</f>
        <v>566.947207345065</v>
      </c>
      <c r="O51" s="27">
        <f>AVERAGE(K50:K51)</f>
        <v>380.90612962408954</v>
      </c>
    </row>
    <row r="53" spans="1:2" ht="12.75">
      <c r="A53" s="4">
        <v>17</v>
      </c>
      <c r="B53" s="4" t="s">
        <v>71</v>
      </c>
    </row>
    <row r="54" spans="1:11" ht="12.75">
      <c r="A54" s="1"/>
      <c r="B54" s="1"/>
      <c r="D54" s="1" t="s">
        <v>53</v>
      </c>
      <c r="E54" s="1" t="s">
        <v>72</v>
      </c>
      <c r="F54" s="1" t="s">
        <v>52</v>
      </c>
      <c r="H54" s="1">
        <v>30</v>
      </c>
      <c r="I54" s="1">
        <v>1990</v>
      </c>
      <c r="J54" s="21">
        <f>148.2/130.7</f>
        <v>1.13389441469013</v>
      </c>
      <c r="K54" s="67">
        <f>H54*J54</f>
        <v>34.0168324407039</v>
      </c>
    </row>
    <row r="55" spans="1:15" ht="12.75">
      <c r="A55" s="1"/>
      <c r="B55" s="1"/>
      <c r="C55" s="1" t="s">
        <v>73</v>
      </c>
      <c r="D55" s="1" t="s">
        <v>53</v>
      </c>
      <c r="E55" s="1" t="s">
        <v>59</v>
      </c>
      <c r="F55" s="1" t="s">
        <v>52</v>
      </c>
      <c r="H55" s="1">
        <v>16</v>
      </c>
      <c r="I55" s="1">
        <v>1982</v>
      </c>
      <c r="J55" s="21">
        <f>148.2/96.5</f>
        <v>1.5357512953367873</v>
      </c>
      <c r="K55" s="67">
        <f>H55*J55</f>
        <v>24.572020725388597</v>
      </c>
      <c r="M55" s="26">
        <f>MIN(K54:K55)</f>
        <v>24.572020725388597</v>
      </c>
      <c r="N55" s="26">
        <f>MAX(K54:K55)</f>
        <v>34.0168324407039</v>
      </c>
      <c r="O55" s="26">
        <f>AVERAGE(K54:K55)</f>
        <v>29.29442658304625</v>
      </c>
    </row>
    <row r="56" spans="1:15" ht="12.75">
      <c r="A56" s="1"/>
      <c r="B56" s="1"/>
      <c r="L56" s="29" t="s">
        <v>47</v>
      </c>
      <c r="M56" s="29">
        <f>M28+M31+M35+M38+M44+M47+M51+M55</f>
        <v>12150.394229555652</v>
      </c>
      <c r="N56" s="29">
        <f>N28+N31+N35+N38+N44+N47+N51+N55</f>
        <v>33833.29096250427</v>
      </c>
      <c r="O56" s="29">
        <f>O28+O31+O35+O38+O44+O47+O51+O55</f>
        <v>22832.361559415953</v>
      </c>
    </row>
    <row r="57" spans="1:2" ht="12.75">
      <c r="A57" s="1"/>
      <c r="B57" s="1"/>
    </row>
    <row r="58" spans="1:2" ht="10.5" customHeight="1">
      <c r="A58" s="4">
        <v>0</v>
      </c>
      <c r="B58" s="4" t="s">
        <v>74</v>
      </c>
    </row>
    <row r="59" spans="1:15" ht="12.75">
      <c r="A59" s="1"/>
      <c r="B59" s="1"/>
      <c r="C59" s="1" t="s">
        <v>75</v>
      </c>
      <c r="D59" s="1" t="s">
        <v>76</v>
      </c>
      <c r="E59" s="1" t="s">
        <v>77</v>
      </c>
      <c r="F59" s="1" t="s">
        <v>78</v>
      </c>
      <c r="H59" s="1">
        <v>89</v>
      </c>
      <c r="I59" s="1">
        <v>1979</v>
      </c>
      <c r="J59" s="21">
        <f>104.6/65.7</f>
        <v>1.5920852359208522</v>
      </c>
      <c r="K59" s="67">
        <f>H59*J59</f>
        <v>141.69558599695586</v>
      </c>
      <c r="O59" s="27">
        <v>142</v>
      </c>
    </row>
    <row r="60" spans="10:45" s="11" customFormat="1" ht="13.5" customHeight="1">
      <c r="J60" s="23"/>
      <c r="K60" s="78"/>
      <c r="L60" s="27"/>
      <c r="M60" s="27"/>
      <c r="N60" s="27"/>
      <c r="O60" s="28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s="3" customFormat="1" ht="17.25" customHeight="1">
      <c r="A61" s="65" t="s">
        <v>79</v>
      </c>
      <c r="J61" s="20"/>
      <c r="K61" s="77"/>
      <c r="L61" s="26"/>
      <c r="M61" s="66"/>
      <c r="N61" s="66"/>
      <c r="O61" s="66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3" spans="1:15" ht="12" customHeight="1">
      <c r="A63" s="4">
        <v>8</v>
      </c>
      <c r="B63" s="4" t="s">
        <v>32</v>
      </c>
      <c r="C63" s="4"/>
      <c r="D63" s="45" t="s">
        <v>33</v>
      </c>
      <c r="E63" s="45" t="s">
        <v>34</v>
      </c>
      <c r="F63" s="45" t="s">
        <v>30</v>
      </c>
      <c r="H63" s="64" t="s">
        <v>80</v>
      </c>
      <c r="K63" s="67" t="s">
        <v>80</v>
      </c>
      <c r="M63" s="27">
        <v>10000</v>
      </c>
      <c r="N63" s="27">
        <v>28000</v>
      </c>
      <c r="O63" s="27">
        <f>AVERAGE(M63:N63)</f>
        <v>19000</v>
      </c>
    </row>
    <row r="64" spans="3:14" ht="12" customHeight="1">
      <c r="C64" s="4"/>
      <c r="D64" s="45"/>
      <c r="E64" s="45"/>
      <c r="F64" s="45"/>
      <c r="H64" s="64"/>
      <c r="N64" s="1"/>
    </row>
    <row r="65" spans="1:15" ht="12" customHeight="1">
      <c r="A65" s="4">
        <v>14</v>
      </c>
      <c r="B65" s="4" t="s">
        <v>42</v>
      </c>
      <c r="C65" s="4"/>
      <c r="D65" s="45" t="s">
        <v>33</v>
      </c>
      <c r="E65" s="45" t="s">
        <v>81</v>
      </c>
      <c r="F65" s="45" t="s">
        <v>30</v>
      </c>
      <c r="H65" s="64">
        <v>2</v>
      </c>
      <c r="K65" s="67">
        <v>2</v>
      </c>
      <c r="M65" s="26">
        <v>2</v>
      </c>
      <c r="N65" s="26">
        <v>2</v>
      </c>
      <c r="O65" s="26">
        <v>2</v>
      </c>
    </row>
    <row r="66" spans="10:45" s="11" customFormat="1" ht="12.75">
      <c r="J66" s="23"/>
      <c r="K66" s="78"/>
      <c r="L66" s="29" t="s">
        <v>47</v>
      </c>
      <c r="M66" s="29">
        <f>SUM(M62:M65)</f>
        <v>10002</v>
      </c>
      <c r="N66" s="29">
        <f>SUM(N62:N65)</f>
        <v>28002</v>
      </c>
      <c r="O66" s="29">
        <f>SUM(O62:O65)</f>
        <v>19002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0:45" s="11" customFormat="1" ht="12.75">
      <c r="J67" s="23"/>
      <c r="K67" s="78"/>
      <c r="L67"/>
      <c r="M67" s="29"/>
      <c r="N67" s="29"/>
      <c r="O67" s="29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s="3" customFormat="1" ht="15.75">
      <c r="A68" s="65" t="s">
        <v>82</v>
      </c>
      <c r="J68" s="20"/>
      <c r="K68" s="77"/>
      <c r="L68" s="26"/>
      <c r="M68" s="26"/>
      <c r="N68" s="26"/>
      <c r="O68" s="26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2" ht="12.75">
      <c r="A69" s="1"/>
      <c r="B69" s="1"/>
    </row>
    <row r="70" spans="1:13" ht="12.75">
      <c r="A70" s="4">
        <v>3</v>
      </c>
      <c r="B70" s="4" t="s">
        <v>83</v>
      </c>
      <c r="D70" s="1" t="s">
        <v>84</v>
      </c>
      <c r="E70" s="1" t="s">
        <v>85</v>
      </c>
      <c r="F70" s="1" t="s">
        <v>86</v>
      </c>
      <c r="G70" s="1" t="s">
        <v>87</v>
      </c>
      <c r="H70" s="1">
        <v>500</v>
      </c>
      <c r="J70" s="1"/>
      <c r="L70" s="27">
        <v>500</v>
      </c>
      <c r="M70"/>
    </row>
    <row r="71" spans="1:14" ht="12.75">
      <c r="A71" s="1"/>
      <c r="B71" s="1" t="s">
        <v>83</v>
      </c>
      <c r="D71" s="1" t="s">
        <v>88</v>
      </c>
      <c r="E71" s="1" t="s">
        <v>85</v>
      </c>
      <c r="G71" s="1" t="s">
        <v>89</v>
      </c>
      <c r="H71" s="1">
        <v>5000</v>
      </c>
      <c r="J71" s="1">
        <v>5</v>
      </c>
      <c r="L71" s="27">
        <v>5000</v>
      </c>
      <c r="N71"/>
    </row>
    <row r="72" spans="1:15" ht="12.75">
      <c r="A72" s="1"/>
      <c r="B72" s="1"/>
      <c r="M72" s="27">
        <f>L70</f>
        <v>500</v>
      </c>
      <c r="N72" s="27">
        <f>L71</f>
        <v>5000</v>
      </c>
      <c r="O72" s="27">
        <f>AVERAGE(M72:N72)</f>
        <v>2750</v>
      </c>
    </row>
    <row r="73" spans="1:2" ht="12.75">
      <c r="A73" s="1"/>
      <c r="B73" s="1"/>
    </row>
    <row r="74" spans="1:15" ht="12.75">
      <c r="A74" s="4">
        <v>9</v>
      </c>
      <c r="B74" s="4" t="s">
        <v>90</v>
      </c>
      <c r="C74" s="4"/>
      <c r="D74" s="1" t="s">
        <v>53</v>
      </c>
      <c r="E74" s="1" t="s">
        <v>85</v>
      </c>
      <c r="F74" s="1" t="s">
        <v>91</v>
      </c>
      <c r="H74" s="1" t="s">
        <v>92</v>
      </c>
      <c r="K74" s="67">
        <v>58</v>
      </c>
      <c r="L74" s="27">
        <v>58</v>
      </c>
      <c r="M74" s="27">
        <v>58</v>
      </c>
      <c r="N74" s="27">
        <v>58</v>
      </c>
      <c r="O74" s="27">
        <v>58</v>
      </c>
    </row>
    <row r="75" spans="1:3" ht="11.25" customHeight="1">
      <c r="A75" s="1"/>
      <c r="C75" s="4"/>
    </row>
    <row r="76" spans="1:15" ht="13.5" customHeight="1">
      <c r="A76" s="4">
        <v>11</v>
      </c>
      <c r="B76" s="4" t="s">
        <v>93</v>
      </c>
      <c r="C76" s="4"/>
      <c r="D76" s="1" t="s">
        <v>53</v>
      </c>
      <c r="E76" s="1" t="s">
        <v>94</v>
      </c>
      <c r="F76" s="1" t="s">
        <v>91</v>
      </c>
      <c r="H76" s="1" t="s">
        <v>95</v>
      </c>
      <c r="K76" s="67">
        <v>4.9</v>
      </c>
      <c r="L76" s="27">
        <v>4.9</v>
      </c>
      <c r="M76" s="27">
        <v>4.9</v>
      </c>
      <c r="N76" s="27">
        <v>4.9</v>
      </c>
      <c r="O76" s="27">
        <v>4.9</v>
      </c>
    </row>
    <row r="77" ht="13.5" customHeight="1">
      <c r="C77" s="4"/>
    </row>
    <row r="78" spans="1:15" ht="13.5" customHeight="1">
      <c r="A78" s="4">
        <v>12</v>
      </c>
      <c r="B78" s="4" t="s">
        <v>57</v>
      </c>
      <c r="C78" s="4"/>
      <c r="D78" s="1" t="s">
        <v>53</v>
      </c>
      <c r="E78" s="1" t="s">
        <v>96</v>
      </c>
      <c r="F78" s="1" t="s">
        <v>91</v>
      </c>
      <c r="H78" s="1" t="s">
        <v>97</v>
      </c>
      <c r="K78" s="67">
        <v>7</v>
      </c>
      <c r="L78" s="27">
        <v>7</v>
      </c>
      <c r="M78" s="27">
        <v>7</v>
      </c>
      <c r="N78" s="27">
        <v>7</v>
      </c>
      <c r="O78" s="27">
        <v>7</v>
      </c>
    </row>
    <row r="79" ht="13.5" customHeight="1">
      <c r="C79" s="4"/>
    </row>
    <row r="80" spans="1:3" ht="13.5" customHeight="1">
      <c r="A80" s="4">
        <v>13</v>
      </c>
      <c r="B80" s="4" t="s">
        <v>39</v>
      </c>
      <c r="C80" s="4"/>
    </row>
    <row r="81" spans="2:13" ht="13.5" customHeight="1">
      <c r="B81" s="1"/>
      <c r="C81" s="1" t="s">
        <v>98</v>
      </c>
      <c r="D81" s="1" t="s">
        <v>99</v>
      </c>
      <c r="E81" s="1" t="s">
        <v>100</v>
      </c>
      <c r="H81" s="1" t="s">
        <v>101</v>
      </c>
      <c r="I81" s="1">
        <v>1987</v>
      </c>
      <c r="K81" s="67">
        <f>4.6/62*1.3</f>
        <v>0.0964516129032258</v>
      </c>
      <c r="L81" s="27">
        <f>4.6/62*1.3</f>
        <v>0.0964516129032258</v>
      </c>
      <c r="M81"/>
    </row>
    <row r="82" spans="2:14" ht="13.5" customHeight="1">
      <c r="B82" s="1"/>
      <c r="C82" s="1" t="s">
        <v>102</v>
      </c>
      <c r="D82" s="1" t="s">
        <v>103</v>
      </c>
      <c r="E82" s="1" t="s">
        <v>104</v>
      </c>
      <c r="F82" s="1" t="s">
        <v>105</v>
      </c>
      <c r="K82" s="67">
        <v>440</v>
      </c>
      <c r="L82" s="27">
        <v>440</v>
      </c>
      <c r="N82"/>
    </row>
    <row r="83" spans="2:13" ht="13.5" customHeight="1">
      <c r="B83" s="1"/>
      <c r="C83" s="1" t="s">
        <v>106</v>
      </c>
      <c r="D83" s="1" t="s">
        <v>53</v>
      </c>
      <c r="E83" s="1" t="s">
        <v>40</v>
      </c>
      <c r="F83" s="1" t="s">
        <v>91</v>
      </c>
      <c r="H83" s="1" t="s">
        <v>107</v>
      </c>
      <c r="K83" s="67">
        <v>0.7</v>
      </c>
      <c r="L83" s="27">
        <v>0.7</v>
      </c>
      <c r="M83"/>
    </row>
    <row r="84" spans="2:15" ht="13.5" customHeight="1">
      <c r="B84" s="1"/>
      <c r="M84" s="27">
        <f>L81</f>
        <v>0.0964516129032258</v>
      </c>
      <c r="N84" s="27">
        <f>L82</f>
        <v>440</v>
      </c>
      <c r="O84" s="27">
        <f>AVERAGE(M84:N84)</f>
        <v>220.04822580645163</v>
      </c>
    </row>
    <row r="85" ht="13.5" customHeight="1">
      <c r="B85" s="1"/>
    </row>
    <row r="86" spans="1:2" ht="13.5" customHeight="1">
      <c r="A86" s="4">
        <v>14</v>
      </c>
      <c r="B86" s="4" t="s">
        <v>42</v>
      </c>
    </row>
    <row r="87" spans="2:15" ht="13.5" customHeight="1">
      <c r="B87" s="1"/>
      <c r="C87" s="1" t="s">
        <v>108</v>
      </c>
      <c r="D87" s="1" t="s">
        <v>53</v>
      </c>
      <c r="E87" s="1" t="s">
        <v>40</v>
      </c>
      <c r="F87" s="1" t="s">
        <v>91</v>
      </c>
      <c r="H87" s="1" t="s">
        <v>109</v>
      </c>
      <c r="J87" s="21">
        <v>2</v>
      </c>
      <c r="K87" s="67">
        <v>5.2</v>
      </c>
      <c r="L87" s="27">
        <v>5.2</v>
      </c>
      <c r="M87"/>
      <c r="N87"/>
      <c r="O87"/>
    </row>
    <row r="88" spans="2:15" ht="13.5" customHeight="1">
      <c r="B88" s="1"/>
      <c r="C88" s="1" t="s">
        <v>110</v>
      </c>
      <c r="D88" s="1" t="s">
        <v>53</v>
      </c>
      <c r="E88" s="1" t="s">
        <v>40</v>
      </c>
      <c r="F88" s="1" t="s">
        <v>91</v>
      </c>
      <c r="H88" s="1" t="s">
        <v>111</v>
      </c>
      <c r="K88" s="67">
        <v>0.4</v>
      </c>
      <c r="L88" s="27">
        <v>0.4</v>
      </c>
      <c r="M88"/>
      <c r="N88"/>
      <c r="O88"/>
    </row>
    <row r="89" spans="2:15" ht="13.5" customHeight="1">
      <c r="B89" s="1"/>
      <c r="C89" s="1" t="s">
        <v>112</v>
      </c>
      <c r="D89" s="1" t="s">
        <v>113</v>
      </c>
      <c r="E89" s="1" t="s">
        <v>40</v>
      </c>
      <c r="F89" s="1" t="s">
        <v>30</v>
      </c>
      <c r="H89" s="1" t="s">
        <v>114</v>
      </c>
      <c r="M89"/>
      <c r="N89"/>
      <c r="O89"/>
    </row>
    <row r="90" spans="2:15" ht="13.5" customHeight="1">
      <c r="B90" s="1"/>
      <c r="C90" s="1" t="s">
        <v>112</v>
      </c>
      <c r="D90" s="1" t="s">
        <v>103</v>
      </c>
      <c r="E90" s="1" t="s">
        <v>40</v>
      </c>
      <c r="F90" s="1" t="s">
        <v>105</v>
      </c>
      <c r="H90" s="1" t="s">
        <v>115</v>
      </c>
      <c r="K90" s="67">
        <v>2.9</v>
      </c>
      <c r="L90" s="27">
        <v>2.9</v>
      </c>
      <c r="M90"/>
      <c r="N90"/>
      <c r="O90"/>
    </row>
    <row r="91" spans="1:15" ht="12.75" customHeight="1">
      <c r="A91" s="1"/>
      <c r="B91" s="1"/>
      <c r="C91" s="1" t="s">
        <v>116</v>
      </c>
      <c r="D91" s="1" t="s">
        <v>103</v>
      </c>
      <c r="E91" s="1" t="s">
        <v>117</v>
      </c>
      <c r="F91" s="1" t="s">
        <v>105</v>
      </c>
      <c r="H91" s="1" t="s">
        <v>118</v>
      </c>
      <c r="K91" s="67">
        <v>18.2</v>
      </c>
      <c r="L91" s="26">
        <v>18.2</v>
      </c>
      <c r="M91"/>
      <c r="N91"/>
      <c r="O91"/>
    </row>
    <row r="92" spans="1:15" ht="12.75" customHeight="1">
      <c r="A92" s="1"/>
      <c r="B92" s="1"/>
      <c r="L92" s="28">
        <f>SUM(L87:L91)</f>
        <v>26.7</v>
      </c>
      <c r="M92"/>
      <c r="N92" s="28"/>
      <c r="O92" s="28"/>
    </row>
    <row r="93" spans="1:15" ht="12.75" customHeight="1">
      <c r="A93" s="1"/>
      <c r="B93" s="1"/>
      <c r="M93" s="27">
        <f>SUM(L87:L91)</f>
        <v>26.7</v>
      </c>
      <c r="N93" s="27">
        <f>L92</f>
        <v>26.7</v>
      </c>
      <c r="O93" s="27">
        <f>AVERAGE(M93:N93)</f>
        <v>26.7</v>
      </c>
    </row>
    <row r="94" spans="1:2" ht="12.75" customHeight="1">
      <c r="A94" s="4">
        <v>16</v>
      </c>
      <c r="B94" s="4" t="s">
        <v>68</v>
      </c>
    </row>
    <row r="95" spans="1:15" ht="12.75" customHeight="1">
      <c r="A95" s="1"/>
      <c r="B95" s="1"/>
      <c r="C95" s="1" t="s">
        <v>119</v>
      </c>
      <c r="D95" s="1" t="s">
        <v>113</v>
      </c>
      <c r="E95" s="1" t="s">
        <v>120</v>
      </c>
      <c r="F95" s="1" t="s">
        <v>121</v>
      </c>
      <c r="H95" s="1" t="s">
        <v>122</v>
      </c>
      <c r="K95" s="67">
        <v>1287</v>
      </c>
      <c r="L95" s="67">
        <v>1287</v>
      </c>
      <c r="M95"/>
      <c r="N95"/>
      <c r="O95"/>
    </row>
    <row r="96" spans="1:15" ht="12.75" customHeight="1">
      <c r="A96" s="1"/>
      <c r="B96" s="1"/>
      <c r="C96" s="1" t="s">
        <v>68</v>
      </c>
      <c r="D96" s="1" t="s">
        <v>123</v>
      </c>
      <c r="E96" s="1" t="s">
        <v>124</v>
      </c>
      <c r="F96" s="1" t="s">
        <v>125</v>
      </c>
      <c r="H96" s="1" t="s">
        <v>126</v>
      </c>
      <c r="K96" s="67">
        <v>46.3</v>
      </c>
      <c r="L96" s="67">
        <v>46.3</v>
      </c>
      <c r="M96"/>
      <c r="N96"/>
      <c r="O96"/>
    </row>
    <row r="97" spans="1:15" ht="12.75" customHeight="1">
      <c r="A97" s="1"/>
      <c r="B97" s="1"/>
      <c r="C97" s="1" t="s">
        <v>127</v>
      </c>
      <c r="D97" s="1" t="s">
        <v>113</v>
      </c>
      <c r="E97" s="1" t="s">
        <v>128</v>
      </c>
      <c r="F97" s="1" t="s">
        <v>125</v>
      </c>
      <c r="H97" s="1" t="s">
        <v>129</v>
      </c>
      <c r="K97" s="67">
        <v>509</v>
      </c>
      <c r="L97" s="67">
        <v>509</v>
      </c>
      <c r="M97"/>
      <c r="N97"/>
      <c r="O97"/>
    </row>
    <row r="98" spans="1:15" ht="12.75" customHeight="1">
      <c r="A98" s="1"/>
      <c r="B98" s="1"/>
      <c r="C98" s="1" t="s">
        <v>130</v>
      </c>
      <c r="D98" s="1" t="s">
        <v>88</v>
      </c>
      <c r="E98" s="1" t="s">
        <v>130</v>
      </c>
      <c r="F98" s="1" t="s">
        <v>131</v>
      </c>
      <c r="H98" s="1" t="s">
        <v>132</v>
      </c>
      <c r="K98" s="67">
        <v>6000</v>
      </c>
      <c r="L98" s="67">
        <v>6000</v>
      </c>
      <c r="M98"/>
      <c r="N98"/>
      <c r="O98"/>
    </row>
    <row r="99" spans="1:15" ht="12.75" customHeight="1">
      <c r="A99" s="1"/>
      <c r="B99" s="1"/>
      <c r="C99" s="1" t="s">
        <v>133</v>
      </c>
      <c r="D99" s="1" t="s">
        <v>134</v>
      </c>
      <c r="E99" s="1" t="s">
        <v>135</v>
      </c>
      <c r="F99" s="1" t="s">
        <v>136</v>
      </c>
      <c r="H99" s="1" t="s">
        <v>137</v>
      </c>
      <c r="K99" s="67">
        <v>1251</v>
      </c>
      <c r="L99" s="67">
        <v>1251</v>
      </c>
      <c r="M99"/>
      <c r="N99"/>
      <c r="O99"/>
    </row>
    <row r="100" spans="1:15" ht="12.75" customHeight="1">
      <c r="A100" s="1"/>
      <c r="B100" s="1"/>
      <c r="C100" s="1" t="s">
        <v>138</v>
      </c>
      <c r="D100" s="1" t="s">
        <v>53</v>
      </c>
      <c r="E100" s="1" t="s">
        <v>139</v>
      </c>
      <c r="F100" s="1" t="s">
        <v>91</v>
      </c>
      <c r="H100" s="1" t="s">
        <v>140</v>
      </c>
      <c r="K100" s="67">
        <v>15</v>
      </c>
      <c r="L100" s="78">
        <v>15</v>
      </c>
      <c r="M100"/>
      <c r="N100"/>
      <c r="O100"/>
    </row>
    <row r="101" spans="1:15" ht="12.75" customHeight="1">
      <c r="A101" s="1"/>
      <c r="B101" s="1"/>
      <c r="M101" s="27">
        <f>L100</f>
        <v>15</v>
      </c>
      <c r="N101" s="27">
        <f>L98</f>
        <v>6000</v>
      </c>
      <c r="O101" s="27">
        <f>AVERAGE(M101:N101)</f>
        <v>3007.5</v>
      </c>
    </row>
    <row r="102" spans="1:2" ht="12.75" customHeight="1">
      <c r="A102" s="1"/>
      <c r="B102" s="1"/>
    </row>
    <row r="103" spans="1:2" ht="12.75" customHeight="1">
      <c r="A103" s="4">
        <v>17</v>
      </c>
      <c r="B103" s="4" t="s">
        <v>71</v>
      </c>
    </row>
    <row r="104" spans="1:14" ht="12.75" customHeight="1">
      <c r="A104" s="1"/>
      <c r="B104" s="1"/>
      <c r="C104" s="1" t="s">
        <v>141</v>
      </c>
      <c r="D104" s="1" t="s">
        <v>53</v>
      </c>
      <c r="E104" s="1" t="s">
        <v>142</v>
      </c>
      <c r="F104" s="1" t="s">
        <v>91</v>
      </c>
      <c r="H104" s="1" t="s">
        <v>143</v>
      </c>
      <c r="K104" s="67">
        <v>0.15</v>
      </c>
      <c r="L104" s="67">
        <v>0.15</v>
      </c>
      <c r="N104" s="67"/>
    </row>
    <row r="105" spans="1:14" ht="12.75" customHeight="1">
      <c r="A105" s="1"/>
      <c r="B105" s="1"/>
      <c r="C105" s="1" t="s">
        <v>144</v>
      </c>
      <c r="D105" s="1" t="s">
        <v>53</v>
      </c>
      <c r="E105" s="1" t="s">
        <v>145</v>
      </c>
      <c r="F105" s="1" t="s">
        <v>91</v>
      </c>
      <c r="H105" s="1" t="s">
        <v>146</v>
      </c>
      <c r="K105" s="67">
        <v>0.02</v>
      </c>
      <c r="L105" s="67">
        <v>0.02</v>
      </c>
      <c r="N105" s="67"/>
    </row>
    <row r="106" spans="1:14" ht="12.75" customHeight="1">
      <c r="A106" s="1"/>
      <c r="B106" s="1"/>
      <c r="C106" s="1" t="s">
        <v>147</v>
      </c>
      <c r="D106" s="1" t="s">
        <v>53</v>
      </c>
      <c r="F106" s="1" t="s">
        <v>91</v>
      </c>
      <c r="H106" s="1" t="s">
        <v>107</v>
      </c>
      <c r="K106" s="67">
        <v>0.7</v>
      </c>
      <c r="L106" s="67">
        <v>0.7</v>
      </c>
      <c r="N106" s="67"/>
    </row>
    <row r="107" spans="1:12" ht="12.75" customHeight="1">
      <c r="A107" s="1"/>
      <c r="B107" s="1"/>
      <c r="L107" s="27">
        <f>SUM(L104:L106)</f>
        <v>0.8699999999999999</v>
      </c>
    </row>
    <row r="108" spans="1:15" ht="12.75" customHeight="1">
      <c r="A108" s="1"/>
      <c r="B108" s="1"/>
      <c r="M108" s="26">
        <f>L107</f>
        <v>0.8699999999999999</v>
      </c>
      <c r="N108" s="26">
        <f>L107</f>
        <v>0.8699999999999999</v>
      </c>
      <c r="O108" s="26">
        <f>AVERAGE(M108:N108)</f>
        <v>0.8699999999999999</v>
      </c>
    </row>
    <row r="109" spans="1:15" ht="12.75" customHeight="1">
      <c r="A109" s="1"/>
      <c r="B109" s="1"/>
      <c r="L109" s="29" t="s">
        <v>47</v>
      </c>
      <c r="M109" s="29">
        <f>SUM(M72:M108)</f>
        <v>612.5664516129033</v>
      </c>
      <c r="N109" s="29">
        <f>SUM(N72:N108)</f>
        <v>11537.47</v>
      </c>
      <c r="O109" s="29">
        <f>SUM(O72:O108)</f>
        <v>6075.0182258064515</v>
      </c>
    </row>
    <row r="110" spans="1:14" ht="12" customHeight="1">
      <c r="A110" s="1"/>
      <c r="B110" s="1"/>
      <c r="J110" s="1"/>
      <c r="M110" s="1"/>
      <c r="N110" s="1"/>
    </row>
    <row r="111" spans="1:15" ht="19.5">
      <c r="A111" s="10" t="s">
        <v>148</v>
      </c>
      <c r="B111" s="3"/>
      <c r="C111" s="3"/>
      <c r="D111" s="3"/>
      <c r="E111" s="3"/>
      <c r="F111" s="3"/>
      <c r="G111" s="3"/>
      <c r="H111" s="3"/>
      <c r="I111" s="3"/>
      <c r="J111" s="20"/>
      <c r="K111" s="77"/>
      <c r="L111" s="26"/>
      <c r="M111" s="26"/>
      <c r="N111" s="26"/>
      <c r="O111" s="26"/>
    </row>
    <row r="112" spans="1:45" s="3" customFormat="1" ht="12.75">
      <c r="A112" s="1"/>
      <c r="B112" s="1"/>
      <c r="C112" s="1"/>
      <c r="D112" s="1"/>
      <c r="E112" s="1"/>
      <c r="F112" s="1"/>
      <c r="G112" s="1"/>
      <c r="H112" s="1"/>
      <c r="I112" s="1"/>
      <c r="J112" s="21"/>
      <c r="K112" s="67"/>
      <c r="L112" s="27"/>
      <c r="M112" s="27"/>
      <c r="N112" s="27"/>
      <c r="O112" s="27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15" ht="12.75">
      <c r="A113" s="4">
        <v>8</v>
      </c>
      <c r="B113" s="4" t="s">
        <v>32</v>
      </c>
      <c r="D113" s="1" t="s">
        <v>28</v>
      </c>
      <c r="E113" s="1" t="s">
        <v>34</v>
      </c>
      <c r="F113" s="1" t="s">
        <v>30</v>
      </c>
      <c r="G113" s="1" t="s">
        <v>60</v>
      </c>
      <c r="H113" s="1" t="s">
        <v>149</v>
      </c>
      <c r="I113" s="1">
        <v>1994</v>
      </c>
      <c r="J113" s="1"/>
      <c r="K113" s="1"/>
      <c r="L113" s="1"/>
      <c r="M113" s="80">
        <v>752</v>
      </c>
      <c r="N113" s="80">
        <v>2110</v>
      </c>
      <c r="O113" s="80">
        <f>AVERAGE(M113:N113)</f>
        <v>1431</v>
      </c>
    </row>
    <row r="114" spans="1:15" ht="12.75">
      <c r="A114" s="1"/>
      <c r="B114" s="1" t="s">
        <v>60</v>
      </c>
      <c r="C114" s="1" t="s">
        <v>60</v>
      </c>
      <c r="J114" s="1"/>
      <c r="K114" s="1"/>
      <c r="L114" s="1"/>
      <c r="M114" s="1" t="s">
        <v>60</v>
      </c>
      <c r="N114" s="1"/>
      <c r="O114" s="1"/>
    </row>
    <row r="115" spans="1:15" ht="12.75">
      <c r="A115" s="4">
        <v>11</v>
      </c>
      <c r="B115" s="4" t="s">
        <v>93</v>
      </c>
      <c r="D115" s="1" t="s">
        <v>150</v>
      </c>
      <c r="E115" s="1" t="s">
        <v>151</v>
      </c>
      <c r="F115" s="1" t="s">
        <v>30</v>
      </c>
      <c r="H115" s="1" t="s">
        <v>152</v>
      </c>
      <c r="I115" s="1">
        <v>1994</v>
      </c>
      <c r="J115" s="1"/>
      <c r="K115" s="1"/>
      <c r="L115" s="1"/>
      <c r="M115" s="1">
        <v>39</v>
      </c>
      <c r="N115" s="1">
        <v>39</v>
      </c>
      <c r="O115" s="1">
        <v>39</v>
      </c>
    </row>
    <row r="116" spans="2:15" ht="12.75">
      <c r="B116" s="1"/>
      <c r="J116" s="1"/>
      <c r="K116" s="1"/>
      <c r="L116" s="1"/>
      <c r="M116" s="1"/>
      <c r="N116" s="1"/>
      <c r="O116" s="1"/>
    </row>
    <row r="117" spans="1:15" ht="12.75">
      <c r="A117" s="4">
        <v>13</v>
      </c>
      <c r="B117" s="4" t="s">
        <v>39</v>
      </c>
      <c r="D117" s="1" t="s">
        <v>150</v>
      </c>
      <c r="E117" s="1" t="s">
        <v>151</v>
      </c>
      <c r="F117" s="1" t="s">
        <v>30</v>
      </c>
      <c r="H117" s="1" t="s">
        <v>153</v>
      </c>
      <c r="I117" s="1">
        <v>1994</v>
      </c>
      <c r="J117" s="1"/>
      <c r="K117" s="1"/>
      <c r="L117" s="1"/>
      <c r="M117" s="1">
        <v>68</v>
      </c>
      <c r="N117" s="1">
        <v>68</v>
      </c>
      <c r="O117" s="1">
        <v>68</v>
      </c>
    </row>
    <row r="118" spans="10:15" ht="12.75">
      <c r="J118" s="1"/>
      <c r="K118" s="1"/>
      <c r="L118" s="1"/>
      <c r="M118" s="1"/>
      <c r="N118" s="1"/>
      <c r="O118" s="1"/>
    </row>
    <row r="119" spans="1:15" ht="12.75">
      <c r="A119" s="4">
        <v>14</v>
      </c>
      <c r="B119" s="4" t="s">
        <v>42</v>
      </c>
      <c r="D119" s="45" t="s">
        <v>33</v>
      </c>
      <c r="J119" s="1"/>
      <c r="K119" s="1"/>
      <c r="L119" s="1"/>
      <c r="M119" s="1">
        <v>2</v>
      </c>
      <c r="N119" s="1">
        <v>2</v>
      </c>
      <c r="O119" s="1">
        <v>2</v>
      </c>
    </row>
    <row r="120" spans="4:15" ht="12.75">
      <c r="D120" s="45"/>
      <c r="J120" s="1"/>
      <c r="K120" s="1"/>
      <c r="L120" s="1"/>
      <c r="M120" s="1"/>
      <c r="N120" s="1"/>
      <c r="O120" s="1"/>
    </row>
    <row r="121" spans="1:15" ht="12.75">
      <c r="A121" s="4">
        <v>17</v>
      </c>
      <c r="B121" s="4" t="s">
        <v>71</v>
      </c>
      <c r="D121" s="45" t="s">
        <v>33</v>
      </c>
      <c r="J121" s="1"/>
      <c r="K121" s="1"/>
      <c r="L121" s="1"/>
      <c r="M121" s="3">
        <v>70</v>
      </c>
      <c r="N121" s="3">
        <v>70</v>
      </c>
      <c r="O121" s="3">
        <v>70</v>
      </c>
    </row>
    <row r="122" spans="4:15" ht="12.75">
      <c r="D122" s="45"/>
      <c r="J122" s="1"/>
      <c r="K122" s="1"/>
      <c r="L122" s="4" t="s">
        <v>47</v>
      </c>
      <c r="M122" s="81">
        <f>SUM(M113:M121)</f>
        <v>931</v>
      </c>
      <c r="N122" s="81">
        <f>SUM(N113:N121)</f>
        <v>2289</v>
      </c>
      <c r="O122" s="81">
        <f>SUM(O113:O121)</f>
        <v>1610</v>
      </c>
    </row>
    <row r="123" spans="4:15" ht="12.75">
      <c r="D123" s="45"/>
      <c r="J123" s="1"/>
      <c r="K123" s="1"/>
      <c r="L123" s="1"/>
      <c r="M123" s="11"/>
      <c r="N123" s="11"/>
      <c r="O123" s="11"/>
    </row>
    <row r="124" spans="1:15" ht="12.75">
      <c r="A124" s="17"/>
      <c r="B124" s="17"/>
      <c r="C124" s="11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45" s="3" customFormat="1" ht="19.5">
      <c r="A125" s="10" t="s">
        <v>154</v>
      </c>
      <c r="B125" s="9"/>
      <c r="J125" s="20"/>
      <c r="K125" s="26"/>
      <c r="L125" s="26"/>
      <c r="M125" s="26"/>
      <c r="N125" s="26"/>
      <c r="O125" s="26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</row>
    <row r="126" ht="12.75">
      <c r="K126" s="27"/>
    </row>
    <row r="127" spans="1:12" ht="12.75">
      <c r="A127" s="4">
        <v>2</v>
      </c>
      <c r="B127" s="4" t="s">
        <v>155</v>
      </c>
      <c r="D127" s="1" t="s">
        <v>156</v>
      </c>
      <c r="F127" s="1" t="s">
        <v>157</v>
      </c>
      <c r="G127" s="1">
        <v>5240</v>
      </c>
      <c r="H127" s="2" t="s">
        <v>158</v>
      </c>
      <c r="I127" s="2"/>
      <c r="K127" s="27">
        <v>141.4537444933921</v>
      </c>
      <c r="L127" s="27">
        <v>141.4537444933921</v>
      </c>
    </row>
    <row r="128" spans="4:12" ht="12.75">
      <c r="D128" s="1" t="s">
        <v>159</v>
      </c>
      <c r="F128" s="1" t="s">
        <v>160</v>
      </c>
      <c r="G128" s="1">
        <v>5100</v>
      </c>
      <c r="H128" s="2" t="s">
        <v>161</v>
      </c>
      <c r="I128" s="2"/>
      <c r="K128" s="27">
        <v>249.91955709342562</v>
      </c>
      <c r="L128" s="27">
        <v>249.91955709342562</v>
      </c>
    </row>
    <row r="129" spans="4:12" ht="12.75">
      <c r="D129" s="1" t="s">
        <v>159</v>
      </c>
      <c r="F129" s="1" t="s">
        <v>162</v>
      </c>
      <c r="G129" s="1">
        <v>2730</v>
      </c>
      <c r="H129" s="2" t="s">
        <v>163</v>
      </c>
      <c r="I129" s="2"/>
      <c r="K129" s="27">
        <v>224.85375778546714</v>
      </c>
      <c r="L129" s="27">
        <v>224.85375778546714</v>
      </c>
    </row>
    <row r="130" spans="4:12" ht="12.75">
      <c r="D130" s="1" t="s">
        <v>164</v>
      </c>
      <c r="E130" s="1" t="s">
        <v>165</v>
      </c>
      <c r="F130" s="1" t="s">
        <v>166</v>
      </c>
      <c r="G130" s="1">
        <v>7400</v>
      </c>
      <c r="H130" s="2" t="s">
        <v>167</v>
      </c>
      <c r="I130" s="2"/>
      <c r="K130" s="27">
        <v>365.60352422907494</v>
      </c>
      <c r="L130" s="27">
        <v>365.60352422907494</v>
      </c>
    </row>
    <row r="131" spans="4:12" ht="12.75">
      <c r="D131" s="1" t="s">
        <v>168</v>
      </c>
      <c r="E131" s="1" t="s">
        <v>169</v>
      </c>
      <c r="F131" s="1" t="s">
        <v>166</v>
      </c>
      <c r="G131" s="1">
        <v>7400</v>
      </c>
      <c r="H131" s="2" t="s">
        <v>170</v>
      </c>
      <c r="I131" s="2"/>
      <c r="K131" s="27">
        <v>260.2808</v>
      </c>
      <c r="L131" s="27">
        <v>260.2808</v>
      </c>
    </row>
    <row r="132" spans="4:12" ht="12.75">
      <c r="D132" s="1" t="s">
        <v>159</v>
      </c>
      <c r="F132" s="1" t="s">
        <v>166</v>
      </c>
      <c r="G132" s="1">
        <v>7400</v>
      </c>
      <c r="H132" s="2" t="s">
        <v>171</v>
      </c>
      <c r="I132" s="2"/>
      <c r="K132" s="27">
        <v>152.77420069204152</v>
      </c>
      <c r="L132" s="27">
        <v>152.77420069204152</v>
      </c>
    </row>
    <row r="133" spans="4:12" ht="12.75">
      <c r="D133" s="1" t="s">
        <v>159</v>
      </c>
      <c r="F133" s="1" t="s">
        <v>172</v>
      </c>
      <c r="G133" s="1">
        <v>7400</v>
      </c>
      <c r="H133" s="2" t="s">
        <v>173</v>
      </c>
      <c r="I133" s="2"/>
      <c r="K133" s="27">
        <v>200.93663667820067</v>
      </c>
      <c r="L133" s="27">
        <v>200.93663667820067</v>
      </c>
    </row>
    <row r="134" spans="4:12" ht="12.75">
      <c r="D134" s="1" t="s">
        <v>159</v>
      </c>
      <c r="F134" s="1" t="s">
        <v>174</v>
      </c>
      <c r="G134" s="1">
        <v>7170</v>
      </c>
      <c r="H134" s="2" t="s">
        <v>175</v>
      </c>
      <c r="I134" s="2"/>
      <c r="K134" s="27">
        <v>166.14809688581315</v>
      </c>
      <c r="L134" s="27">
        <v>166.14809688581315</v>
      </c>
    </row>
    <row r="135" spans="4:12" ht="12.75">
      <c r="D135" s="1" t="s">
        <v>176</v>
      </c>
      <c r="G135" s="1">
        <v>4992</v>
      </c>
      <c r="H135" s="2" t="s">
        <v>177</v>
      </c>
      <c r="I135" s="2"/>
      <c r="K135" s="27">
        <v>117.93</v>
      </c>
      <c r="L135" s="27">
        <v>117.93</v>
      </c>
    </row>
    <row r="136" spans="4:12" ht="12.75">
      <c r="D136" s="1" t="s">
        <v>176</v>
      </c>
      <c r="G136" s="1">
        <v>4992</v>
      </c>
      <c r="H136" s="2" t="s">
        <v>178</v>
      </c>
      <c r="I136" s="2"/>
      <c r="K136" s="27">
        <v>481.68</v>
      </c>
      <c r="L136" s="27">
        <v>481.68</v>
      </c>
    </row>
    <row r="137" spans="4:15" ht="12.75">
      <c r="D137" s="1" t="s">
        <v>179</v>
      </c>
      <c r="E137" s="1" t="s">
        <v>180</v>
      </c>
      <c r="F137" s="1" t="s">
        <v>174</v>
      </c>
      <c r="G137" s="1">
        <v>7170</v>
      </c>
      <c r="H137" s="2" t="s">
        <v>181</v>
      </c>
      <c r="I137" s="2"/>
      <c r="K137" s="27">
        <v>88.44376434583013</v>
      </c>
      <c r="L137" s="27">
        <v>88.44376434583013</v>
      </c>
      <c r="M137" s="27">
        <v>88.4</v>
      </c>
      <c r="N137" s="27">
        <v>481.7</v>
      </c>
      <c r="O137" s="27">
        <f>AVERAGE(L127:L137)</f>
        <v>222.72946201847682</v>
      </c>
    </row>
    <row r="138" ht="12.75">
      <c r="K138" s="27"/>
    </row>
    <row r="139" spans="1:15" ht="12.75">
      <c r="A139" s="4">
        <v>3</v>
      </c>
      <c r="B139" s="4" t="s">
        <v>182</v>
      </c>
      <c r="D139" s="1" t="s">
        <v>183</v>
      </c>
      <c r="E139" s="1" t="s">
        <v>184</v>
      </c>
      <c r="F139" s="1" t="s">
        <v>185</v>
      </c>
      <c r="G139" s="1">
        <v>2400</v>
      </c>
      <c r="H139" s="2">
        <v>2</v>
      </c>
      <c r="I139" s="2"/>
      <c r="K139" s="27">
        <v>2.390322580645161</v>
      </c>
      <c r="L139" s="27">
        <f>K139*4992/G139</f>
        <v>4.9718709677419355</v>
      </c>
      <c r="M139" s="27">
        <v>5</v>
      </c>
      <c r="N139" s="27">
        <v>5</v>
      </c>
      <c r="O139" s="27">
        <v>5</v>
      </c>
    </row>
    <row r="140" ht="12.75">
      <c r="K140" s="27"/>
    </row>
    <row r="141" spans="1:12" ht="12.75">
      <c r="A141" s="4">
        <v>4</v>
      </c>
      <c r="B141" s="4" t="s">
        <v>186</v>
      </c>
      <c r="D141" s="1" t="s">
        <v>168</v>
      </c>
      <c r="E141" s="1" t="s">
        <v>187</v>
      </c>
      <c r="F141" s="1" t="s">
        <v>166</v>
      </c>
      <c r="G141" s="1">
        <v>7400</v>
      </c>
      <c r="H141" s="2">
        <v>25.0705</v>
      </c>
      <c r="I141" s="2"/>
      <c r="K141" s="27">
        <v>25.0705</v>
      </c>
      <c r="L141" s="27">
        <f>K141*4992/G141</f>
        <v>16.912423783783783</v>
      </c>
    </row>
    <row r="142" spans="4:12" ht="12.75">
      <c r="D142" s="1" t="s">
        <v>188</v>
      </c>
      <c r="E142" s="1" t="s">
        <v>189</v>
      </c>
      <c r="F142" s="1" t="s">
        <v>174</v>
      </c>
      <c r="G142" s="1">
        <v>7170</v>
      </c>
      <c r="H142" s="2">
        <v>0.13529411764705881</v>
      </c>
      <c r="I142" s="2"/>
      <c r="K142" s="27">
        <v>0.13529411764705881</v>
      </c>
      <c r="L142" s="27">
        <f>K142*4992/G142</f>
        <v>0.09419640659611124</v>
      </c>
    </row>
    <row r="143" spans="4:15" ht="12.75">
      <c r="D143" s="1" t="s">
        <v>190</v>
      </c>
      <c r="E143" s="1" t="s">
        <v>180</v>
      </c>
      <c r="F143" s="1" t="s">
        <v>191</v>
      </c>
      <c r="G143" s="1">
        <v>710</v>
      </c>
      <c r="H143" s="2" t="s">
        <v>192</v>
      </c>
      <c r="I143" s="2"/>
      <c r="K143" s="27">
        <v>0.09960988122455808</v>
      </c>
      <c r="L143" s="27">
        <f>K143*4992/G143</f>
        <v>0.7003556719337942</v>
      </c>
      <c r="M143" s="27">
        <v>0.1</v>
      </c>
      <c r="N143" s="27">
        <v>16.9</v>
      </c>
      <c r="O143" s="27">
        <f>AVERAGE(L141:L143)</f>
        <v>5.902325287437897</v>
      </c>
    </row>
    <row r="144" ht="12.75">
      <c r="K144" s="27"/>
    </row>
    <row r="145" spans="1:15" ht="12.75">
      <c r="A145" s="4">
        <v>5</v>
      </c>
      <c r="B145" s="4" t="s">
        <v>193</v>
      </c>
      <c r="D145" s="1" t="s">
        <v>168</v>
      </c>
      <c r="E145" s="1" t="s">
        <v>59</v>
      </c>
      <c r="F145" s="1" t="s">
        <v>166</v>
      </c>
      <c r="G145" s="1">
        <v>7400</v>
      </c>
      <c r="H145" s="2">
        <v>11.31</v>
      </c>
      <c r="I145" s="2"/>
      <c r="K145" s="27">
        <v>11.31</v>
      </c>
      <c r="L145" s="27">
        <f>K145*4992/G145</f>
        <v>7.629664864864865</v>
      </c>
      <c r="M145" s="27">
        <v>7.6</v>
      </c>
      <c r="N145" s="27">
        <v>7.6</v>
      </c>
      <c r="O145" s="27">
        <v>7.6</v>
      </c>
    </row>
    <row r="146" ht="12.75">
      <c r="K146" s="27"/>
    </row>
    <row r="147" spans="1:12" ht="12.75">
      <c r="A147" s="4">
        <v>6</v>
      </c>
      <c r="B147" s="4" t="s">
        <v>194</v>
      </c>
      <c r="D147" s="1" t="s">
        <v>195</v>
      </c>
      <c r="E147" s="1" t="s">
        <v>184</v>
      </c>
      <c r="F147" s="1" t="s">
        <v>196</v>
      </c>
      <c r="G147" s="1">
        <v>2730</v>
      </c>
      <c r="H147" s="2">
        <v>4.5</v>
      </c>
      <c r="I147" s="2"/>
      <c r="K147" s="27">
        <v>5.378225806451613</v>
      </c>
      <c r="L147" s="27">
        <f aca="true" t="shared" si="0" ref="L147:L152">K147*4992/G147</f>
        <v>9.834470046082949</v>
      </c>
    </row>
    <row r="148" spans="4:12" ht="12.75">
      <c r="D148" s="1" t="s">
        <v>197</v>
      </c>
      <c r="E148" s="1" t="s">
        <v>184</v>
      </c>
      <c r="F148" s="1" t="s">
        <v>198</v>
      </c>
      <c r="G148" s="1">
        <v>2440</v>
      </c>
      <c r="H148" s="2">
        <v>22.5</v>
      </c>
      <c r="I148" s="2"/>
      <c r="K148" s="27">
        <v>28.186813186813186</v>
      </c>
      <c r="L148" s="27">
        <f t="shared" si="0"/>
        <v>57.667447306791566</v>
      </c>
    </row>
    <row r="149" spans="4:12" ht="12.75">
      <c r="D149" s="1" t="s">
        <v>199</v>
      </c>
      <c r="E149" s="1" t="s">
        <v>200</v>
      </c>
      <c r="F149" s="1" t="s">
        <v>201</v>
      </c>
      <c r="G149" s="1">
        <v>4140</v>
      </c>
      <c r="H149" s="2" t="s">
        <v>202</v>
      </c>
      <c r="I149" s="2"/>
      <c r="K149" s="27">
        <v>3.872322580645161</v>
      </c>
      <c r="L149" s="27">
        <f t="shared" si="0"/>
        <v>4.669235343618513</v>
      </c>
    </row>
    <row r="150" spans="4:12" ht="12.75">
      <c r="D150" s="1" t="s">
        <v>203</v>
      </c>
      <c r="E150" s="1" t="s">
        <v>204</v>
      </c>
      <c r="F150" s="1" t="s">
        <v>105</v>
      </c>
      <c r="G150" s="1">
        <v>2440</v>
      </c>
      <c r="H150" s="2" t="s">
        <v>205</v>
      </c>
      <c r="I150" s="2"/>
      <c r="K150" s="27">
        <v>321.09025448806466</v>
      </c>
      <c r="L150" s="27">
        <f t="shared" si="0"/>
        <v>656.9190780345979</v>
      </c>
    </row>
    <row r="151" spans="4:12" ht="12.75">
      <c r="D151" s="1" t="s">
        <v>199</v>
      </c>
      <c r="E151" s="1" t="s">
        <v>200</v>
      </c>
      <c r="F151" s="1" t="s">
        <v>105</v>
      </c>
      <c r="G151" s="1">
        <v>2440</v>
      </c>
      <c r="H151" s="2" t="s">
        <v>206</v>
      </c>
      <c r="I151" s="2"/>
      <c r="K151" s="27">
        <v>44.61233480176212</v>
      </c>
      <c r="L151" s="27">
        <f t="shared" si="0"/>
        <v>91.2724489059002</v>
      </c>
    </row>
    <row r="152" spans="4:15" ht="12.75">
      <c r="D152" s="1" t="s">
        <v>207</v>
      </c>
      <c r="E152" s="1" t="s">
        <v>208</v>
      </c>
      <c r="F152" s="1" t="s">
        <v>209</v>
      </c>
      <c r="G152" s="1">
        <v>1150</v>
      </c>
      <c r="H152" s="2">
        <v>145</v>
      </c>
      <c r="I152" s="2"/>
      <c r="K152" s="27">
        <v>149</v>
      </c>
      <c r="L152" s="27">
        <f t="shared" si="0"/>
        <v>646.7895652173913</v>
      </c>
      <c r="M152" s="27">
        <f>L149</f>
        <v>4.669235343618513</v>
      </c>
      <c r="N152" s="27">
        <f>L150</f>
        <v>656.9190780345979</v>
      </c>
      <c r="O152" s="27">
        <f>AVERAGE(L147:L152)</f>
        <v>244.52537414239706</v>
      </c>
    </row>
    <row r="153" ht="12.75">
      <c r="K153" s="27"/>
    </row>
    <row r="154" spans="1:15" ht="12.75">
      <c r="A154" s="4">
        <v>7</v>
      </c>
      <c r="B154" s="4" t="s">
        <v>210</v>
      </c>
      <c r="D154" s="1" t="s">
        <v>211</v>
      </c>
      <c r="F154" s="1" t="s">
        <v>55</v>
      </c>
      <c r="H154" s="1">
        <v>10</v>
      </c>
      <c r="K154" s="27">
        <v>10</v>
      </c>
      <c r="L154" s="27">
        <v>10</v>
      </c>
      <c r="M154" s="27">
        <f>L154</f>
        <v>10</v>
      </c>
      <c r="N154" s="27">
        <f>L154</f>
        <v>10</v>
      </c>
      <c r="O154" s="27">
        <f>L154</f>
        <v>10</v>
      </c>
    </row>
    <row r="155" ht="12.75">
      <c r="K155" s="27"/>
    </row>
    <row r="156" spans="1:15" ht="12.75">
      <c r="A156" s="4">
        <v>8</v>
      </c>
      <c r="B156" s="4" t="s">
        <v>32</v>
      </c>
      <c r="D156" s="1" t="s">
        <v>207</v>
      </c>
      <c r="E156" s="1" t="s">
        <v>212</v>
      </c>
      <c r="F156" s="1" t="s">
        <v>209</v>
      </c>
      <c r="G156" s="1">
        <v>1150</v>
      </c>
      <c r="H156" s="2">
        <v>212.3</v>
      </c>
      <c r="I156" s="2"/>
      <c r="K156" s="27">
        <v>212.3</v>
      </c>
      <c r="L156" s="27">
        <f>K156*4992/G156</f>
        <v>921.5666086956522</v>
      </c>
      <c r="M156" s="27">
        <v>921.6</v>
      </c>
      <c r="N156" s="27">
        <v>921.6</v>
      </c>
      <c r="O156" s="27">
        <v>921.6</v>
      </c>
    </row>
    <row r="157" ht="12.75">
      <c r="K157" s="27"/>
    </row>
    <row r="158" spans="1:15" ht="12.75">
      <c r="A158" s="4">
        <v>9</v>
      </c>
      <c r="B158" s="4" t="s">
        <v>213</v>
      </c>
      <c r="D158" s="1" t="s">
        <v>211</v>
      </c>
      <c r="F158" s="1" t="s">
        <v>55</v>
      </c>
      <c r="H158" s="1">
        <v>87</v>
      </c>
      <c r="K158" s="27">
        <v>87</v>
      </c>
      <c r="L158" s="27">
        <v>87</v>
      </c>
      <c r="M158" s="27">
        <f>L158</f>
        <v>87</v>
      </c>
      <c r="N158" s="27">
        <f>L158</f>
        <v>87</v>
      </c>
      <c r="O158" s="27">
        <f>L158</f>
        <v>87</v>
      </c>
    </row>
    <row r="159" ht="12.75">
      <c r="K159" s="27"/>
    </row>
    <row r="160" spans="1:12" ht="12.75">
      <c r="A160" s="4">
        <v>13</v>
      </c>
      <c r="B160" s="4" t="s">
        <v>214</v>
      </c>
      <c r="D160" s="1" t="s">
        <v>168</v>
      </c>
      <c r="E160" s="1" t="s">
        <v>59</v>
      </c>
      <c r="F160" s="1" t="s">
        <v>166</v>
      </c>
      <c r="G160" s="1">
        <v>7400</v>
      </c>
      <c r="H160" s="2">
        <v>10.933</v>
      </c>
      <c r="I160" s="2"/>
      <c r="K160" s="27">
        <v>10.933</v>
      </c>
      <c r="L160" s="27">
        <f>K160*4992/G160</f>
        <v>7.375342702702703</v>
      </c>
    </row>
    <row r="161" spans="4:12" ht="12.75">
      <c r="D161" s="1" t="s">
        <v>215</v>
      </c>
      <c r="E161" s="1" t="s">
        <v>184</v>
      </c>
      <c r="F161" s="1" t="s">
        <v>216</v>
      </c>
      <c r="G161" s="1">
        <v>4992</v>
      </c>
      <c r="H161" s="2">
        <v>75</v>
      </c>
      <c r="I161" s="2"/>
      <c r="K161" s="27">
        <v>75</v>
      </c>
      <c r="L161" s="27">
        <f>K161*4992/G161</f>
        <v>75</v>
      </c>
    </row>
    <row r="162" spans="4:12" ht="12.75">
      <c r="D162" s="1" t="s">
        <v>217</v>
      </c>
      <c r="E162" s="1" t="s">
        <v>218</v>
      </c>
      <c r="F162" s="1" t="s">
        <v>219</v>
      </c>
      <c r="G162" s="1">
        <v>3110</v>
      </c>
      <c r="H162" s="2">
        <v>23</v>
      </c>
      <c r="I162" s="2"/>
      <c r="K162" s="27">
        <v>25</v>
      </c>
      <c r="L162" s="27">
        <f>K162*4992/G162</f>
        <v>40.12861736334405</v>
      </c>
    </row>
    <row r="163" spans="4:12" ht="12.75">
      <c r="D163" s="1" t="s">
        <v>220</v>
      </c>
      <c r="E163" s="1" t="s">
        <v>221</v>
      </c>
      <c r="F163" s="1" t="s">
        <v>222</v>
      </c>
      <c r="G163" s="1">
        <v>4992</v>
      </c>
      <c r="H163" s="2" t="s">
        <v>223</v>
      </c>
      <c r="I163" s="2"/>
      <c r="K163" s="27">
        <v>5.66947207345065</v>
      </c>
      <c r="L163" s="27">
        <f>K163*4992/G163</f>
        <v>5.66947207345065</v>
      </c>
    </row>
    <row r="164" spans="4:15" ht="12.75">
      <c r="D164" s="1" t="s">
        <v>224</v>
      </c>
      <c r="E164" s="1" t="s">
        <v>225</v>
      </c>
      <c r="F164" s="1" t="s">
        <v>219</v>
      </c>
      <c r="G164" s="1">
        <v>3110</v>
      </c>
      <c r="H164" s="2" t="s">
        <v>226</v>
      </c>
      <c r="I164" s="2"/>
      <c r="K164" s="27">
        <v>21.12615823235923</v>
      </c>
      <c r="L164" s="27">
        <f>K164*4992/G164</f>
        <v>33.910540802552184</v>
      </c>
      <c r="M164" s="27">
        <v>5.7</v>
      </c>
      <c r="N164" s="27">
        <v>75</v>
      </c>
      <c r="O164" s="27">
        <f>AVERAGE(L160:L164)</f>
        <v>32.41679458840992</v>
      </c>
    </row>
    <row r="165" ht="12.75">
      <c r="K165" s="27"/>
    </row>
    <row r="166" spans="1:12" ht="12.75">
      <c r="A166" s="4">
        <v>14</v>
      </c>
      <c r="B166" s="4" t="s">
        <v>42</v>
      </c>
      <c r="D166" s="1" t="s">
        <v>179</v>
      </c>
      <c r="E166" s="1" t="s">
        <v>227</v>
      </c>
      <c r="F166" s="1" t="s">
        <v>174</v>
      </c>
      <c r="G166" s="1">
        <v>7170</v>
      </c>
      <c r="H166" s="2" t="s">
        <v>228</v>
      </c>
      <c r="I166" s="2"/>
      <c r="K166" s="27">
        <v>374.1851568477429</v>
      </c>
      <c r="L166" s="27">
        <f aca="true" t="shared" si="1" ref="L166:L179">K166*4992/G166</f>
        <v>260.52054434922354</v>
      </c>
    </row>
    <row r="167" spans="4:12" ht="12.75">
      <c r="D167" s="1" t="s">
        <v>159</v>
      </c>
      <c r="F167" s="1" t="s">
        <v>160</v>
      </c>
      <c r="G167" s="1">
        <v>5100</v>
      </c>
      <c r="H167" s="2">
        <v>99</v>
      </c>
      <c r="I167" s="2"/>
      <c r="K167" s="27">
        <v>99</v>
      </c>
      <c r="L167" s="27">
        <f t="shared" si="1"/>
        <v>96.90352941176471</v>
      </c>
    </row>
    <row r="168" spans="4:12" ht="12.75">
      <c r="D168" s="1" t="s">
        <v>207</v>
      </c>
      <c r="E168" s="1" t="s">
        <v>229</v>
      </c>
      <c r="F168" s="1" t="s">
        <v>209</v>
      </c>
      <c r="G168" s="1">
        <v>1150</v>
      </c>
      <c r="H168" s="2">
        <v>119</v>
      </c>
      <c r="I168" s="2"/>
      <c r="K168" s="27">
        <v>122</v>
      </c>
      <c r="L168" s="27">
        <f t="shared" si="1"/>
        <v>529.5860869565217</v>
      </c>
    </row>
    <row r="169" spans="4:12" ht="12.75">
      <c r="D169" s="1" t="s">
        <v>159</v>
      </c>
      <c r="F169" s="1" t="s">
        <v>162</v>
      </c>
      <c r="G169" s="1">
        <v>2730</v>
      </c>
      <c r="H169" s="2">
        <v>127</v>
      </c>
      <c r="I169" s="2"/>
      <c r="K169" s="27">
        <v>127</v>
      </c>
      <c r="L169" s="27">
        <f t="shared" si="1"/>
        <v>232.22857142857143</v>
      </c>
    </row>
    <row r="170" spans="4:12" ht="12.75">
      <c r="D170" s="1" t="s">
        <v>159</v>
      </c>
      <c r="F170" s="1" t="s">
        <v>174</v>
      </c>
      <c r="G170" s="1">
        <v>7170</v>
      </c>
      <c r="H170" s="2">
        <v>62</v>
      </c>
      <c r="I170" s="2"/>
      <c r="K170" s="27">
        <v>62</v>
      </c>
      <c r="L170" s="27">
        <f t="shared" si="1"/>
        <v>43.16652719665272</v>
      </c>
    </row>
    <row r="171" spans="4:12" ht="12.75">
      <c r="D171" s="1" t="s">
        <v>217</v>
      </c>
      <c r="E171" s="1" t="s">
        <v>218</v>
      </c>
      <c r="F171" s="1" t="s">
        <v>219</v>
      </c>
      <c r="G171" s="1">
        <v>3110</v>
      </c>
      <c r="H171" s="2">
        <v>528.44</v>
      </c>
      <c r="I171" s="2"/>
      <c r="K171" s="27">
        <v>631.5710322580645</v>
      </c>
      <c r="L171" s="27">
        <f t="shared" si="1"/>
        <v>1013.7628916502438</v>
      </c>
    </row>
    <row r="172" spans="4:12" ht="12.75">
      <c r="D172" s="1" t="s">
        <v>224</v>
      </c>
      <c r="E172" s="1" t="s">
        <v>221</v>
      </c>
      <c r="F172" s="1" t="s">
        <v>230</v>
      </c>
      <c r="G172" s="1">
        <v>5240</v>
      </c>
      <c r="H172" s="2" t="s">
        <v>231</v>
      </c>
      <c r="I172" s="2"/>
      <c r="K172" s="27">
        <v>224.78757552870093</v>
      </c>
      <c r="L172" s="27">
        <f t="shared" si="1"/>
        <v>214.14877424413646</v>
      </c>
    </row>
    <row r="173" spans="4:12" ht="12.75">
      <c r="D173" s="1" t="s">
        <v>232</v>
      </c>
      <c r="E173" s="1" t="s">
        <v>227</v>
      </c>
      <c r="F173" s="1" t="s">
        <v>201</v>
      </c>
      <c r="G173" s="1">
        <v>4140</v>
      </c>
      <c r="H173" s="2" t="s">
        <v>233</v>
      </c>
      <c r="I173" s="2"/>
      <c r="K173" s="27">
        <v>121.79230220955097</v>
      </c>
      <c r="L173" s="27">
        <f t="shared" si="1"/>
        <v>146.85680498311072</v>
      </c>
    </row>
    <row r="174" spans="4:12" ht="12.75">
      <c r="D174" s="1" t="s">
        <v>224</v>
      </c>
      <c r="E174" s="1" t="s">
        <v>221</v>
      </c>
      <c r="F174" s="1" t="s">
        <v>209</v>
      </c>
      <c r="G174" s="1">
        <v>1150</v>
      </c>
      <c r="H174" s="2" t="s">
        <v>234</v>
      </c>
      <c r="I174" s="2"/>
      <c r="K174" s="27">
        <v>232.68919939577043</v>
      </c>
      <c r="L174" s="27">
        <f t="shared" si="1"/>
        <v>1010.0734638119009</v>
      </c>
    </row>
    <row r="175" spans="4:12" ht="12.75">
      <c r="D175" s="1" t="s">
        <v>199</v>
      </c>
      <c r="E175" s="1" t="s">
        <v>227</v>
      </c>
      <c r="F175" s="1" t="s">
        <v>209</v>
      </c>
      <c r="G175" s="1">
        <v>1150</v>
      </c>
      <c r="H175" s="2" t="s">
        <v>235</v>
      </c>
      <c r="I175" s="2"/>
      <c r="K175" s="27">
        <v>112.81660899653978</v>
      </c>
      <c r="L175" s="27">
        <f t="shared" si="1"/>
        <v>489.72218444411004</v>
      </c>
    </row>
    <row r="176" spans="4:12" ht="12.75">
      <c r="D176" s="1" t="s">
        <v>224</v>
      </c>
      <c r="E176" s="1" t="s">
        <v>225</v>
      </c>
      <c r="F176" s="1" t="s">
        <v>162</v>
      </c>
      <c r="G176" s="1">
        <v>2730</v>
      </c>
      <c r="H176" s="2" t="s">
        <v>236</v>
      </c>
      <c r="I176" s="2"/>
      <c r="K176" s="27">
        <v>63.34354838709677</v>
      </c>
      <c r="L176" s="27">
        <f t="shared" si="1"/>
        <v>115.82820276497695</v>
      </c>
    </row>
    <row r="177" spans="4:12" ht="12.75">
      <c r="D177" s="1" t="s">
        <v>224</v>
      </c>
      <c r="E177" s="1" t="s">
        <v>225</v>
      </c>
      <c r="F177" s="1" t="s">
        <v>174</v>
      </c>
      <c r="G177" s="1">
        <v>7170</v>
      </c>
      <c r="H177" s="2" t="s">
        <v>237</v>
      </c>
      <c r="I177" s="2"/>
      <c r="K177" s="27">
        <v>138.63870967741934</v>
      </c>
      <c r="L177" s="27">
        <f t="shared" si="1"/>
        <v>96.52502631934132</v>
      </c>
    </row>
    <row r="178" spans="4:12" ht="12.75">
      <c r="D178" s="1" t="s">
        <v>224</v>
      </c>
      <c r="E178" s="1" t="s">
        <v>238</v>
      </c>
      <c r="F178" s="1" t="s">
        <v>239</v>
      </c>
      <c r="G178" s="1">
        <v>2650</v>
      </c>
      <c r="H178" s="2" t="s">
        <v>240</v>
      </c>
      <c r="I178" s="2"/>
      <c r="K178" s="27">
        <v>52.81539558089807</v>
      </c>
      <c r="L178" s="27">
        <f t="shared" si="1"/>
        <v>99.49224707163893</v>
      </c>
    </row>
    <row r="179" spans="4:15" ht="12.75">
      <c r="D179" s="1" t="s">
        <v>220</v>
      </c>
      <c r="E179" s="1" t="s">
        <v>221</v>
      </c>
      <c r="F179" s="1" t="s">
        <v>241</v>
      </c>
      <c r="G179" s="1">
        <v>4992</v>
      </c>
      <c r="H179" s="2" t="s">
        <v>242</v>
      </c>
      <c r="I179" s="2"/>
      <c r="K179" s="27">
        <v>62.364192807957146</v>
      </c>
      <c r="L179" s="27">
        <f t="shared" si="1"/>
        <v>62.36419280795714</v>
      </c>
      <c r="M179" s="27">
        <v>43.2</v>
      </c>
      <c r="N179" s="27">
        <v>1013.8</v>
      </c>
      <c r="O179" s="27">
        <f>AVERAGE(L166:L179)</f>
        <v>315.0842176742964</v>
      </c>
    </row>
    <row r="180" ht="12.75">
      <c r="K180" s="27"/>
    </row>
    <row r="181" spans="1:12" ht="12.75">
      <c r="A181" s="4">
        <v>15</v>
      </c>
      <c r="B181" s="4" t="s">
        <v>243</v>
      </c>
      <c r="D181" s="1" t="s">
        <v>159</v>
      </c>
      <c r="F181" s="1" t="s">
        <v>244</v>
      </c>
      <c r="G181" s="1">
        <v>7400</v>
      </c>
      <c r="H181" s="2">
        <v>52</v>
      </c>
      <c r="I181" s="2"/>
      <c r="K181" s="27">
        <v>52</v>
      </c>
      <c r="L181" s="27">
        <v>52</v>
      </c>
    </row>
    <row r="182" spans="4:12" ht="12.75">
      <c r="D182" s="1" t="s">
        <v>159</v>
      </c>
      <c r="F182" s="1" t="s">
        <v>174</v>
      </c>
      <c r="G182" s="1">
        <v>7170</v>
      </c>
      <c r="H182" s="2">
        <v>45.5</v>
      </c>
      <c r="I182" s="2"/>
      <c r="K182" s="27">
        <v>45.5</v>
      </c>
      <c r="L182" s="27">
        <v>45.5</v>
      </c>
    </row>
    <row r="183" spans="4:12" ht="12.75">
      <c r="D183" s="1" t="s">
        <v>245</v>
      </c>
      <c r="E183" s="1" t="s">
        <v>246</v>
      </c>
      <c r="F183" s="1" t="s">
        <v>174</v>
      </c>
      <c r="G183" s="1">
        <v>7170</v>
      </c>
      <c r="H183" s="2">
        <v>32.333333333333336</v>
      </c>
      <c r="I183" s="2"/>
      <c r="K183" s="27">
        <v>32.333333333333336</v>
      </c>
      <c r="L183" s="27">
        <v>32.333333333333336</v>
      </c>
    </row>
    <row r="184" spans="4:12" ht="12.75">
      <c r="D184" s="1" t="s">
        <v>176</v>
      </c>
      <c r="G184" s="1">
        <v>4992</v>
      </c>
      <c r="H184" s="2" t="s">
        <v>247</v>
      </c>
      <c r="I184" s="2"/>
      <c r="K184" s="27">
        <v>0.9892833221701273</v>
      </c>
      <c r="L184" s="27">
        <v>0.9892833221701273</v>
      </c>
    </row>
    <row r="185" spans="4:12" ht="12.75">
      <c r="D185" s="1" t="s">
        <v>224</v>
      </c>
      <c r="E185" s="1" t="s">
        <v>151</v>
      </c>
      <c r="F185" s="1" t="s">
        <v>248</v>
      </c>
      <c r="G185" s="1">
        <v>2176</v>
      </c>
      <c r="H185" s="2" t="s">
        <v>249</v>
      </c>
      <c r="I185" s="2"/>
      <c r="K185" s="27">
        <v>112.10415570752237</v>
      </c>
      <c r="L185" s="27">
        <v>112.10415570752237</v>
      </c>
    </row>
    <row r="186" spans="4:15" ht="12.75">
      <c r="D186" s="1" t="s">
        <v>250</v>
      </c>
      <c r="E186" s="1" t="s">
        <v>151</v>
      </c>
      <c r="F186" s="1" t="s">
        <v>251</v>
      </c>
      <c r="G186" s="1">
        <v>22130</v>
      </c>
      <c r="H186" s="2" t="s">
        <v>252</v>
      </c>
      <c r="I186" s="2"/>
      <c r="K186" s="27">
        <v>6</v>
      </c>
      <c r="L186" s="27">
        <v>6</v>
      </c>
      <c r="M186" s="27">
        <f>MIN(L181:L186)</f>
        <v>0.9892833221701273</v>
      </c>
      <c r="N186" s="27">
        <f>MAX(L181:L186)</f>
        <v>112.10415570752237</v>
      </c>
      <c r="O186" s="27">
        <f>AVERAGE(L181:L186)</f>
        <v>41.487795393837644</v>
      </c>
    </row>
    <row r="187" ht="12.75">
      <c r="K187" s="27"/>
    </row>
    <row r="188" spans="1:12" ht="12.75">
      <c r="A188" s="4">
        <v>16</v>
      </c>
      <c r="B188" s="4" t="s">
        <v>68</v>
      </c>
      <c r="D188" s="1" t="s">
        <v>179</v>
      </c>
      <c r="E188" s="1" t="s">
        <v>253</v>
      </c>
      <c r="F188" s="1" t="s">
        <v>174</v>
      </c>
      <c r="G188" s="1">
        <v>7170</v>
      </c>
      <c r="H188" s="2" t="s">
        <v>254</v>
      </c>
      <c r="I188" s="2"/>
      <c r="K188" s="27">
        <v>0.39686304514154547</v>
      </c>
      <c r="L188" s="27">
        <f aca="true" t="shared" si="2" ref="L188:L203">K188*4992/G188</f>
        <v>0.2763096682491764</v>
      </c>
    </row>
    <row r="189" spans="4:12" ht="12.75">
      <c r="D189" s="1" t="s">
        <v>255</v>
      </c>
      <c r="F189" s="1" t="s">
        <v>160</v>
      </c>
      <c r="G189" s="1">
        <v>5100</v>
      </c>
      <c r="H189" s="2">
        <v>52</v>
      </c>
      <c r="I189" s="2"/>
      <c r="K189" s="27">
        <v>56.58149779735683</v>
      </c>
      <c r="L189" s="27">
        <f t="shared" si="2"/>
        <v>55.38330137341281</v>
      </c>
    </row>
    <row r="190" spans="4:12" ht="12.75">
      <c r="D190" s="1" t="s">
        <v>159</v>
      </c>
      <c r="F190" s="1" t="s">
        <v>160</v>
      </c>
      <c r="G190" s="1">
        <v>5100</v>
      </c>
      <c r="H190" s="2">
        <v>209</v>
      </c>
      <c r="I190" s="2"/>
      <c r="K190" s="27">
        <v>214.35155709342558</v>
      </c>
      <c r="L190" s="27">
        <f t="shared" si="2"/>
        <v>209.81234764909422</v>
      </c>
    </row>
    <row r="191" spans="4:12" ht="12.75">
      <c r="D191" s="1" t="s">
        <v>256</v>
      </c>
      <c r="E191" s="1" t="s">
        <v>257</v>
      </c>
      <c r="F191" s="1" t="s">
        <v>91</v>
      </c>
      <c r="G191" s="1">
        <v>4140</v>
      </c>
      <c r="H191" s="2">
        <v>504.27</v>
      </c>
      <c r="I191" s="2"/>
      <c r="K191" s="27">
        <v>548.6990748898678</v>
      </c>
      <c r="L191" s="27">
        <f t="shared" si="2"/>
        <v>661.6197540701015</v>
      </c>
    </row>
    <row r="192" spans="4:12" ht="12.75">
      <c r="D192" s="1" t="s">
        <v>258</v>
      </c>
      <c r="E192" s="1" t="s">
        <v>259</v>
      </c>
      <c r="F192" s="1" t="s">
        <v>209</v>
      </c>
      <c r="G192" s="1">
        <v>1150</v>
      </c>
      <c r="H192" s="2">
        <v>6.9</v>
      </c>
      <c r="I192" s="2"/>
      <c r="K192" s="27">
        <v>7.076678200692042</v>
      </c>
      <c r="L192" s="27">
        <f t="shared" si="2"/>
        <v>30.718937024221454</v>
      </c>
    </row>
    <row r="193" spans="4:12" ht="12.75">
      <c r="D193" s="1" t="s">
        <v>260</v>
      </c>
      <c r="F193" s="1" t="s">
        <v>261</v>
      </c>
      <c r="G193" s="1">
        <v>1350</v>
      </c>
      <c r="H193" s="2">
        <v>12</v>
      </c>
      <c r="I193" s="2"/>
      <c r="K193" s="27">
        <v>12.307266435986158</v>
      </c>
      <c r="L193" s="27">
        <f t="shared" si="2"/>
        <v>45.50953633217993</v>
      </c>
    </row>
    <row r="194" spans="4:12" ht="12.75">
      <c r="D194" s="1" t="s">
        <v>262</v>
      </c>
      <c r="E194" s="1" t="s">
        <v>59</v>
      </c>
      <c r="F194" s="1" t="s">
        <v>166</v>
      </c>
      <c r="G194" s="1">
        <v>7400</v>
      </c>
      <c r="H194" s="2">
        <v>21.489</v>
      </c>
      <c r="I194" s="2"/>
      <c r="K194" s="27">
        <v>21.489</v>
      </c>
      <c r="L194" s="27">
        <f t="shared" si="2"/>
        <v>14.496363243243243</v>
      </c>
    </row>
    <row r="195" spans="4:12" ht="12.75">
      <c r="D195" s="1" t="s">
        <v>159</v>
      </c>
      <c r="F195" s="1" t="s">
        <v>174</v>
      </c>
      <c r="G195" s="1">
        <v>7170</v>
      </c>
      <c r="H195" s="2">
        <v>8</v>
      </c>
      <c r="I195" s="2"/>
      <c r="K195" s="27">
        <v>8.204844290657439</v>
      </c>
      <c r="L195" s="27">
        <f t="shared" si="2"/>
        <v>5.712494100273632</v>
      </c>
    </row>
    <row r="196" spans="4:12" ht="12.75">
      <c r="D196" s="1" t="s">
        <v>245</v>
      </c>
      <c r="E196" s="1" t="s">
        <v>263</v>
      </c>
      <c r="F196" s="1" t="s">
        <v>174</v>
      </c>
      <c r="G196" s="1">
        <v>7170</v>
      </c>
      <c r="H196" s="2">
        <v>0.9441176470588236</v>
      </c>
      <c r="I196" s="2"/>
      <c r="K196" s="27">
        <v>0.9441176470588236</v>
      </c>
      <c r="L196" s="27">
        <f t="shared" si="2"/>
        <v>0.6573270982032982</v>
      </c>
    </row>
    <row r="197" spans="4:12" ht="12.75">
      <c r="D197" s="1" t="s">
        <v>264</v>
      </c>
      <c r="E197" s="1" t="s">
        <v>238</v>
      </c>
      <c r="F197" s="1" t="s">
        <v>160</v>
      </c>
      <c r="G197" s="1">
        <v>5100</v>
      </c>
      <c r="H197" s="2" t="s">
        <v>265</v>
      </c>
      <c r="I197" s="2"/>
      <c r="K197" s="27">
        <v>251.42906386315036</v>
      </c>
      <c r="L197" s="27">
        <f t="shared" si="2"/>
        <v>246.10468368722482</v>
      </c>
    </row>
    <row r="198" spans="4:12" ht="12.75">
      <c r="D198" s="1" t="s">
        <v>220</v>
      </c>
      <c r="E198" s="1" t="s">
        <v>266</v>
      </c>
      <c r="F198" s="1" t="s">
        <v>160</v>
      </c>
      <c r="G198" s="1">
        <v>5100</v>
      </c>
      <c r="H198" s="2" t="s">
        <v>267</v>
      </c>
      <c r="I198" s="2"/>
      <c r="K198" s="27">
        <v>58.962509563886755</v>
      </c>
      <c r="L198" s="27">
        <f t="shared" si="2"/>
        <v>57.71389171429856</v>
      </c>
    </row>
    <row r="199" spans="4:12" ht="12.75">
      <c r="D199" s="1" t="s">
        <v>220</v>
      </c>
      <c r="E199" s="1" t="s">
        <v>266</v>
      </c>
      <c r="F199" s="1" t="s">
        <v>261</v>
      </c>
      <c r="G199" s="1">
        <v>1350</v>
      </c>
      <c r="H199" s="2" t="s">
        <v>268</v>
      </c>
      <c r="I199" s="2"/>
      <c r="K199" s="27">
        <v>13.60673297628156</v>
      </c>
      <c r="L199" s="27">
        <f t="shared" si="2"/>
        <v>50.314674827850034</v>
      </c>
    </row>
    <row r="200" spans="4:12" ht="12.75">
      <c r="D200" s="1" t="s">
        <v>156</v>
      </c>
      <c r="E200" s="1" t="s">
        <v>266</v>
      </c>
      <c r="F200" s="1" t="s">
        <v>191</v>
      </c>
      <c r="G200" s="1">
        <v>710</v>
      </c>
      <c r="H200" s="2" t="s">
        <v>269</v>
      </c>
      <c r="I200" s="2"/>
      <c r="K200" s="27">
        <v>19.252033680923436</v>
      </c>
      <c r="L200" s="27">
        <f t="shared" si="2"/>
        <v>135.3607776551687</v>
      </c>
    </row>
    <row r="201" spans="4:12" ht="12.75">
      <c r="D201" s="1" t="s">
        <v>156</v>
      </c>
      <c r="E201" s="1" t="s">
        <v>270</v>
      </c>
      <c r="F201" s="1" t="s">
        <v>191</v>
      </c>
      <c r="G201" s="1">
        <v>710</v>
      </c>
      <c r="H201" s="2" t="s">
        <v>271</v>
      </c>
      <c r="I201" s="2"/>
      <c r="K201" s="27">
        <v>10.31358947192327</v>
      </c>
      <c r="L201" s="27">
        <f t="shared" si="2"/>
        <v>72.51470231526896</v>
      </c>
    </row>
    <row r="202" spans="4:12" ht="12.75">
      <c r="D202" s="1" t="s">
        <v>156</v>
      </c>
      <c r="E202" s="1" t="s">
        <v>238</v>
      </c>
      <c r="F202" s="1" t="s">
        <v>191</v>
      </c>
      <c r="G202" s="1">
        <v>710</v>
      </c>
      <c r="H202" s="2" t="s">
        <v>272</v>
      </c>
      <c r="I202" s="2"/>
      <c r="K202" s="27">
        <v>27.93263815312552</v>
      </c>
      <c r="L202" s="27">
        <f t="shared" si="2"/>
        <v>196.39398543718676</v>
      </c>
    </row>
    <row r="203" spans="4:15" ht="12.75">
      <c r="D203" s="1" t="s">
        <v>220</v>
      </c>
      <c r="F203" s="1" t="s">
        <v>174</v>
      </c>
      <c r="G203" s="1">
        <v>7170</v>
      </c>
      <c r="H203" s="2" t="s">
        <v>273</v>
      </c>
      <c r="I203" s="2"/>
      <c r="K203" s="27">
        <v>9.07115531752104</v>
      </c>
      <c r="L203" s="27">
        <f t="shared" si="2"/>
        <v>6.315649559981176</v>
      </c>
      <c r="M203" s="27">
        <f>MIN(L188:L203)</f>
        <v>0.2763096682491764</v>
      </c>
      <c r="N203" s="27">
        <f>MAX(L188:L203)</f>
        <v>661.6197540701015</v>
      </c>
      <c r="O203" s="27">
        <f>AVERAGE(L188:L203)</f>
        <v>111.8065459847474</v>
      </c>
    </row>
    <row r="204" ht="12.75">
      <c r="K204" s="27"/>
    </row>
    <row r="205" spans="1:12" ht="12.75">
      <c r="A205" s="4">
        <v>17</v>
      </c>
      <c r="B205" s="4" t="s">
        <v>71</v>
      </c>
      <c r="D205" s="1" t="s">
        <v>179</v>
      </c>
      <c r="E205" s="1" t="s">
        <v>238</v>
      </c>
      <c r="F205" s="1" t="s">
        <v>174</v>
      </c>
      <c r="G205" s="1">
        <v>7170</v>
      </c>
      <c r="H205" s="2" t="s">
        <v>274</v>
      </c>
      <c r="I205" s="2"/>
      <c r="K205" s="27">
        <f>7.30228003060444/2</f>
        <v>3.65114001530222</v>
      </c>
      <c r="L205" s="27">
        <f>K205*4992/G205</f>
        <v>2.5420489478924244</v>
      </c>
    </row>
    <row r="206" spans="4:15" ht="12.75">
      <c r="D206" s="1" t="s">
        <v>179</v>
      </c>
      <c r="E206" s="1" t="s">
        <v>238</v>
      </c>
      <c r="F206" s="1" t="s">
        <v>174</v>
      </c>
      <c r="G206" s="1">
        <v>7170</v>
      </c>
      <c r="H206" s="2" t="s">
        <v>275</v>
      </c>
      <c r="I206" s="2"/>
      <c r="K206" s="27">
        <f>1.32665646518745/2</f>
        <v>0.663328232593725</v>
      </c>
      <c r="L206" s="27">
        <f>K206*4992/G206</f>
        <v>0.4618318740736227</v>
      </c>
      <c r="M206" s="26">
        <v>0.5</v>
      </c>
      <c r="N206" s="26">
        <v>2.5</v>
      </c>
      <c r="O206" s="26">
        <f>AVERAGE(L205:L206)</f>
        <v>1.5019404109830234</v>
      </c>
    </row>
    <row r="207" ht="12.75">
      <c r="K207" s="27"/>
    </row>
    <row r="208" spans="1:45" s="11" customFormat="1" ht="12.75">
      <c r="A208" s="17"/>
      <c r="B208" s="17"/>
      <c r="J208" s="23"/>
      <c r="K208" s="28"/>
      <c r="L208" s="29" t="s">
        <v>276</v>
      </c>
      <c r="M208" s="29">
        <f>SUM(M128:M206)</f>
        <v>1175.0348283340381</v>
      </c>
      <c r="N208" s="29">
        <f>SUM(N128:N206)</f>
        <v>4051.742987812221</v>
      </c>
      <c r="O208" s="29">
        <f>SUM(O137:O206)</f>
        <v>2006.654455500586</v>
      </c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</row>
    <row r="209" spans="1:45" s="11" customFormat="1" ht="12.75">
      <c r="A209" s="17"/>
      <c r="B209" s="17"/>
      <c r="J209" s="23"/>
      <c r="K209" s="28"/>
      <c r="L209" s="29"/>
      <c r="M209" s="29"/>
      <c r="N209" s="29"/>
      <c r="O209" s="2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</row>
    <row r="210" spans="1:15" ht="12.75">
      <c r="A210" s="17"/>
      <c r="B210" s="17"/>
      <c r="C210" s="11"/>
      <c r="D210" s="11"/>
      <c r="E210" s="11"/>
      <c r="F210" s="11"/>
      <c r="G210" s="11"/>
      <c r="H210" s="11"/>
      <c r="I210" s="11"/>
      <c r="J210" s="23"/>
      <c r="K210" s="78"/>
      <c r="L210" s="29"/>
      <c r="M210" s="29"/>
      <c r="N210" s="29"/>
      <c r="O210" s="29"/>
    </row>
    <row r="211" spans="1:45" s="3" customFormat="1" ht="19.5">
      <c r="A211" s="10" t="s">
        <v>277</v>
      </c>
      <c r="B211" s="9"/>
      <c r="J211" s="20"/>
      <c r="K211" s="77"/>
      <c r="L211" s="26"/>
      <c r="M211" s="26"/>
      <c r="N211" s="26"/>
      <c r="O211" s="26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</row>
    <row r="213" spans="1:12" ht="12.75">
      <c r="A213" s="4">
        <v>2</v>
      </c>
      <c r="B213" s="4" t="s">
        <v>155</v>
      </c>
      <c r="D213" s="1" t="s">
        <v>176</v>
      </c>
      <c r="E213" s="1" t="s">
        <v>60</v>
      </c>
      <c r="F213" s="1" t="s">
        <v>60</v>
      </c>
      <c r="G213" s="1">
        <v>4992</v>
      </c>
      <c r="H213" s="2" t="s">
        <v>278</v>
      </c>
      <c r="I213" s="2"/>
      <c r="K213" s="67">
        <v>106.66297577854672</v>
      </c>
      <c r="L213" s="27">
        <v>106.66297577854672</v>
      </c>
    </row>
    <row r="214" spans="4:15" ht="12.75">
      <c r="D214" s="1" t="s">
        <v>245</v>
      </c>
      <c r="E214" s="1" t="s">
        <v>180</v>
      </c>
      <c r="F214" s="1" t="s">
        <v>174</v>
      </c>
      <c r="G214" s="1">
        <v>7170</v>
      </c>
      <c r="H214" s="2" t="s">
        <v>279</v>
      </c>
      <c r="I214" s="2"/>
      <c r="K214" s="67">
        <v>69.73</v>
      </c>
      <c r="L214" s="27">
        <v>69.73</v>
      </c>
      <c r="M214" s="27">
        <v>69.7</v>
      </c>
      <c r="N214" s="27">
        <v>106.7</v>
      </c>
      <c r="O214" s="27">
        <f>AVERAGE(L213:L214)</f>
        <v>88.19648788927336</v>
      </c>
    </row>
    <row r="216" spans="1:15" ht="12.75">
      <c r="A216" s="4">
        <v>4</v>
      </c>
      <c r="B216" s="4" t="s">
        <v>186</v>
      </c>
      <c r="D216" s="1" t="s">
        <v>245</v>
      </c>
      <c r="E216" s="1" t="s">
        <v>189</v>
      </c>
      <c r="F216" s="1" t="s">
        <v>174</v>
      </c>
      <c r="G216" s="1">
        <v>7170</v>
      </c>
      <c r="H216" s="2">
        <v>0.13529411764705881</v>
      </c>
      <c r="I216" s="2"/>
      <c r="K216" s="67">
        <v>0.13529411764705881</v>
      </c>
      <c r="L216" s="27">
        <f>K216*4992/G216</f>
        <v>0.09419640659611124</v>
      </c>
      <c r="M216" s="27">
        <v>0.1</v>
      </c>
      <c r="N216" s="27">
        <v>0.1</v>
      </c>
      <c r="O216" s="27">
        <v>0.1</v>
      </c>
    </row>
    <row r="218" spans="1:15" ht="12.75">
      <c r="A218" s="4">
        <v>7</v>
      </c>
      <c r="B218" s="4" t="s">
        <v>210</v>
      </c>
      <c r="D218" s="1" t="s">
        <v>280</v>
      </c>
      <c r="F218" s="1" t="s">
        <v>55</v>
      </c>
      <c r="H218" s="1">
        <v>10</v>
      </c>
      <c r="K218" s="67">
        <v>10</v>
      </c>
      <c r="L218" s="27">
        <v>10</v>
      </c>
      <c r="M218" s="27">
        <f>L218</f>
        <v>10</v>
      </c>
      <c r="N218" s="27">
        <f>L218</f>
        <v>10</v>
      </c>
      <c r="O218" s="27">
        <f>L218</f>
        <v>10</v>
      </c>
    </row>
    <row r="220" spans="1:15" ht="12.75">
      <c r="A220" s="4">
        <v>9</v>
      </c>
      <c r="B220" s="4" t="s">
        <v>213</v>
      </c>
      <c r="D220" s="1" t="s">
        <v>280</v>
      </c>
      <c r="F220" s="1" t="s">
        <v>55</v>
      </c>
      <c r="H220" s="1">
        <v>87</v>
      </c>
      <c r="K220" s="67">
        <v>87</v>
      </c>
      <c r="L220" s="27">
        <v>87</v>
      </c>
      <c r="M220" s="27">
        <f>L220</f>
        <v>87</v>
      </c>
      <c r="N220" s="27">
        <f>L220</f>
        <v>87</v>
      </c>
      <c r="O220" s="27">
        <f>L220</f>
        <v>87</v>
      </c>
    </row>
    <row r="222" spans="1:15" ht="12.75">
      <c r="A222" s="4">
        <v>11</v>
      </c>
      <c r="B222" s="4" t="s">
        <v>37</v>
      </c>
      <c r="D222" s="1" t="s">
        <v>280</v>
      </c>
      <c r="F222" s="1" t="s">
        <v>55</v>
      </c>
      <c r="H222" s="1">
        <v>4</v>
      </c>
      <c r="K222" s="67">
        <v>4</v>
      </c>
      <c r="L222" s="27">
        <v>4</v>
      </c>
      <c r="M222" s="27">
        <f>L222</f>
        <v>4</v>
      </c>
      <c r="N222" s="27">
        <f>L222</f>
        <v>4</v>
      </c>
      <c r="O222" s="27">
        <f>L222</f>
        <v>4</v>
      </c>
    </row>
    <row r="224" spans="1:15" ht="12.75">
      <c r="A224" s="4">
        <v>13</v>
      </c>
      <c r="B224" s="4" t="s">
        <v>39</v>
      </c>
      <c r="D224" s="1" t="s">
        <v>220</v>
      </c>
      <c r="E224" s="1" t="s">
        <v>238</v>
      </c>
      <c r="F224" s="1" t="s">
        <v>60</v>
      </c>
      <c r="G224" s="1">
        <v>4992</v>
      </c>
      <c r="H224" s="2" t="s">
        <v>281</v>
      </c>
      <c r="I224" s="2"/>
      <c r="K224" s="67">
        <v>49.89135424636572</v>
      </c>
      <c r="L224" s="27">
        <f>K224*4992/G224</f>
        <v>49.89135424636572</v>
      </c>
      <c r="M224" s="27">
        <v>49.9</v>
      </c>
      <c r="N224" s="27">
        <v>49.9</v>
      </c>
      <c r="O224" s="27">
        <v>49.9</v>
      </c>
    </row>
    <row r="226" spans="1:15" ht="12.75">
      <c r="A226" s="4">
        <v>14</v>
      </c>
      <c r="B226" s="4" t="s">
        <v>282</v>
      </c>
      <c r="D226" s="1" t="s">
        <v>283</v>
      </c>
      <c r="E226" s="1" t="s">
        <v>284</v>
      </c>
      <c r="F226" s="1" t="s">
        <v>285</v>
      </c>
      <c r="G226" s="1">
        <v>4992</v>
      </c>
      <c r="L226" s="27">
        <f>(303000/4855)*0.2*(160.5/81)</f>
        <v>24.732806957317774</v>
      </c>
      <c r="M226" s="27">
        <v>24.7</v>
      </c>
      <c r="N226" s="27">
        <v>24.7</v>
      </c>
      <c r="O226" s="27">
        <v>24.7</v>
      </c>
    </row>
    <row r="228" spans="1:12" ht="12.75">
      <c r="A228" s="4">
        <v>16</v>
      </c>
      <c r="B228" s="4" t="s">
        <v>68</v>
      </c>
      <c r="D228" s="1" t="s">
        <v>286</v>
      </c>
      <c r="E228" s="1" t="s">
        <v>287</v>
      </c>
      <c r="F228" s="1" t="s">
        <v>288</v>
      </c>
      <c r="G228" s="1">
        <v>16340</v>
      </c>
      <c r="H228" s="2">
        <v>157</v>
      </c>
      <c r="I228" s="2"/>
      <c r="K228" s="67">
        <v>187.64032258064515</v>
      </c>
      <c r="L228" s="27">
        <f>K228*4992/G228</f>
        <v>57.325611402850704</v>
      </c>
    </row>
    <row r="229" spans="4:15" ht="12.75">
      <c r="D229" s="1" t="s">
        <v>289</v>
      </c>
      <c r="E229" s="1" t="s">
        <v>290</v>
      </c>
      <c r="F229" s="1" t="s">
        <v>291</v>
      </c>
      <c r="G229" s="1">
        <v>22130</v>
      </c>
      <c r="H229" s="2">
        <v>55</v>
      </c>
      <c r="I229" s="2"/>
      <c r="K229" s="67">
        <v>65.73387096774194</v>
      </c>
      <c r="L229" s="27">
        <f>K229*4992/G229</f>
        <v>14.827992944914946</v>
      </c>
      <c r="M229" s="27">
        <v>14.8</v>
      </c>
      <c r="N229" s="27">
        <v>57.3</v>
      </c>
      <c r="O229" s="27">
        <f>AVERAGE(L228:L229)</f>
        <v>36.076802173882825</v>
      </c>
    </row>
    <row r="231" spans="1:12" ht="12.75">
      <c r="A231" s="4">
        <v>17</v>
      </c>
      <c r="B231" s="4" t="s">
        <v>71</v>
      </c>
      <c r="D231" s="1" t="s">
        <v>292</v>
      </c>
      <c r="E231" s="1" t="s">
        <v>293</v>
      </c>
      <c r="F231" s="1" t="s">
        <v>291</v>
      </c>
      <c r="G231" s="1">
        <v>22130</v>
      </c>
      <c r="H231" s="2">
        <v>17</v>
      </c>
      <c r="I231" s="2"/>
      <c r="K231" s="67">
        <v>19.27620504973221</v>
      </c>
      <c r="L231" s="27">
        <f>K231*4992/G231</f>
        <v>4.348251947955861</v>
      </c>
    </row>
    <row r="232" spans="4:12" ht="12.75">
      <c r="D232" s="1" t="s">
        <v>245</v>
      </c>
      <c r="E232" s="1" t="s">
        <v>238</v>
      </c>
      <c r="F232" s="1" t="s">
        <v>174</v>
      </c>
      <c r="G232" s="1">
        <v>7170</v>
      </c>
      <c r="H232" s="2" t="s">
        <v>294</v>
      </c>
      <c r="I232" s="2"/>
      <c r="K232" s="67">
        <f>7.30228003060444/2</f>
        <v>3.65114001530222</v>
      </c>
      <c r="L232" s="27">
        <f>K232*4992/G232</f>
        <v>2.5420489478924244</v>
      </c>
    </row>
    <row r="233" spans="4:15" ht="12.75">
      <c r="D233" s="1" t="s">
        <v>245</v>
      </c>
      <c r="E233" s="1" t="s">
        <v>238</v>
      </c>
      <c r="F233" s="1" t="s">
        <v>174</v>
      </c>
      <c r="G233" s="1">
        <v>7170</v>
      </c>
      <c r="H233" s="2" t="s">
        <v>275</v>
      </c>
      <c r="I233" s="2"/>
      <c r="K233" s="67">
        <f>1.32665646518745/2</f>
        <v>0.663328232593725</v>
      </c>
      <c r="L233" s="27">
        <f>K233*4992/G233</f>
        <v>0.4618318740736227</v>
      </c>
      <c r="M233" s="26">
        <f>MIN(L231:L233)</f>
        <v>0.4618318740736227</v>
      </c>
      <c r="N233" s="26">
        <v>4.3</v>
      </c>
      <c r="O233" s="26">
        <f>AVERAGE(L231:L233)</f>
        <v>2.4507109233073026</v>
      </c>
    </row>
    <row r="234" spans="8:9" ht="12.75">
      <c r="H234" s="2"/>
      <c r="I234" s="2"/>
    </row>
    <row r="235" spans="1:45" s="11" customFormat="1" ht="12.75">
      <c r="A235" s="17"/>
      <c r="B235" s="17"/>
      <c r="J235" s="23"/>
      <c r="K235" s="78"/>
      <c r="L235" s="29" t="s">
        <v>276</v>
      </c>
      <c r="M235" s="29">
        <f>SUM(M214:M233)</f>
        <v>260.6618318740736</v>
      </c>
      <c r="N235" s="29">
        <f>SUM(N214:N233)</f>
        <v>344</v>
      </c>
      <c r="O235" s="29">
        <f>SUM(O214:O233)</f>
        <v>302.4240009864635</v>
      </c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</row>
    <row r="238" spans="1:45" s="3" customFormat="1" ht="19.5">
      <c r="A238" s="10" t="s">
        <v>295</v>
      </c>
      <c r="B238" s="9"/>
      <c r="J238" s="20"/>
      <c r="K238" s="77"/>
      <c r="L238" s="26"/>
      <c r="M238" s="26"/>
      <c r="N238" s="26"/>
      <c r="O238" s="26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</row>
    <row r="240" spans="1:9" ht="12" customHeight="1">
      <c r="A240" s="12">
        <v>1</v>
      </c>
      <c r="B240" s="13" t="s">
        <v>296</v>
      </c>
      <c r="I240" s="2"/>
    </row>
    <row r="241" spans="1:15" ht="12" customHeight="1">
      <c r="A241" s="5"/>
      <c r="C241" s="14" t="s">
        <v>297</v>
      </c>
      <c r="D241" s="14" t="s">
        <v>298</v>
      </c>
      <c r="E241" s="14" t="s">
        <v>299</v>
      </c>
      <c r="F241" s="14" t="s">
        <v>300</v>
      </c>
      <c r="G241" s="14"/>
      <c r="H241" s="15">
        <v>5.93</v>
      </c>
      <c r="I241" s="16">
        <v>1994</v>
      </c>
      <c r="J241" s="22"/>
      <c r="K241" s="79">
        <v>5.93</v>
      </c>
      <c r="L241" s="27">
        <f>K241</f>
        <v>5.93</v>
      </c>
      <c r="M241"/>
      <c r="N241"/>
      <c r="O241"/>
    </row>
    <row r="242" spans="1:15" ht="12.75">
      <c r="A242" s="5"/>
      <c r="D242" s="14" t="s">
        <v>301</v>
      </c>
      <c r="I242" s="2"/>
      <c r="M242"/>
      <c r="N242"/>
      <c r="O242"/>
    </row>
    <row r="243" spans="1:15" ht="12.75">
      <c r="A243" s="5"/>
      <c r="D243" s="14" t="s">
        <v>302</v>
      </c>
      <c r="I243" s="2"/>
      <c r="M243"/>
      <c r="N243"/>
      <c r="O243"/>
    </row>
    <row r="244" spans="1:15" ht="12.75">
      <c r="A244" s="5"/>
      <c r="I244" s="2"/>
      <c r="M244"/>
      <c r="N244"/>
      <c r="O244"/>
    </row>
    <row r="245" spans="1:15" ht="12.75">
      <c r="A245" s="5"/>
      <c r="C245" s="14" t="s">
        <v>303</v>
      </c>
      <c r="D245" s="14" t="s">
        <v>298</v>
      </c>
      <c r="E245" s="14" t="s">
        <v>299</v>
      </c>
      <c r="F245" s="14" t="s">
        <v>300</v>
      </c>
      <c r="G245" s="14"/>
      <c r="H245" s="15">
        <v>0.6</v>
      </c>
      <c r="I245" s="16">
        <v>1994</v>
      </c>
      <c r="J245" s="22"/>
      <c r="K245" s="79">
        <v>0.6</v>
      </c>
      <c r="L245" s="27">
        <f>K245</f>
        <v>0.6</v>
      </c>
      <c r="M245"/>
      <c r="N245"/>
      <c r="O245"/>
    </row>
    <row r="246" spans="1:15" ht="12.75">
      <c r="A246" s="5"/>
      <c r="D246" s="14" t="s">
        <v>304</v>
      </c>
      <c r="I246" s="2"/>
      <c r="M246"/>
      <c r="N246"/>
      <c r="O246"/>
    </row>
    <row r="247" spans="1:15" ht="12.75">
      <c r="A247" s="5"/>
      <c r="D247" s="14" t="s">
        <v>302</v>
      </c>
      <c r="I247" s="2"/>
      <c r="M247"/>
      <c r="N247"/>
      <c r="O247"/>
    </row>
    <row r="248" spans="1:15" ht="12.75">
      <c r="A248" s="5"/>
      <c r="I248" s="2"/>
      <c r="M248"/>
      <c r="N248"/>
      <c r="O248"/>
    </row>
    <row r="249" spans="1:15" ht="12.75">
      <c r="A249" s="5"/>
      <c r="C249" s="14" t="s">
        <v>305</v>
      </c>
      <c r="D249" s="14" t="s">
        <v>298</v>
      </c>
      <c r="E249" s="14" t="s">
        <v>299</v>
      </c>
      <c r="F249" s="14" t="s">
        <v>300</v>
      </c>
      <c r="G249" s="14"/>
      <c r="H249" s="15">
        <v>0.05</v>
      </c>
      <c r="I249" s="16">
        <v>1994</v>
      </c>
      <c r="J249" s="22"/>
      <c r="K249" s="79">
        <v>0.05</v>
      </c>
      <c r="L249" s="26">
        <f>K249</f>
        <v>0.05</v>
      </c>
      <c r="M249"/>
      <c r="N249"/>
      <c r="O249"/>
    </row>
    <row r="250" spans="1:15" ht="12.75">
      <c r="A250" s="5"/>
      <c r="D250" s="14" t="s">
        <v>304</v>
      </c>
      <c r="I250" s="2"/>
      <c r="L250" s="27">
        <f>L241+L245+L249</f>
        <v>6.579999999999999</v>
      </c>
      <c r="M250"/>
      <c r="N250"/>
      <c r="O250"/>
    </row>
    <row r="251" spans="1:15" ht="12.75">
      <c r="A251" s="5"/>
      <c r="D251" s="14" t="s">
        <v>302</v>
      </c>
      <c r="I251" s="2"/>
      <c r="M251" s="27">
        <f>L250</f>
        <v>6.579999999999999</v>
      </c>
      <c r="N251" s="27">
        <f>L250</f>
        <v>6.579999999999999</v>
      </c>
      <c r="O251" s="27">
        <f>AVERAGE(M251:N251)</f>
        <v>6.579999999999999</v>
      </c>
    </row>
    <row r="252" spans="1:9" ht="12.75">
      <c r="A252" s="5"/>
      <c r="I252" s="2"/>
    </row>
    <row r="253" spans="1:15" ht="12.75">
      <c r="A253" s="12">
        <v>2</v>
      </c>
      <c r="B253" s="13" t="s">
        <v>306</v>
      </c>
      <c r="D253" s="14" t="s">
        <v>307</v>
      </c>
      <c r="E253" s="14" t="s">
        <v>299</v>
      </c>
      <c r="F253" s="14" t="s">
        <v>300</v>
      </c>
      <c r="G253" s="14"/>
      <c r="H253" s="15">
        <v>0.11</v>
      </c>
      <c r="I253" s="16">
        <v>1994</v>
      </c>
      <c r="J253" s="22"/>
      <c r="K253" s="79">
        <v>0.11</v>
      </c>
      <c r="M253" s="27">
        <f>K253</f>
        <v>0.11</v>
      </c>
      <c r="N253" s="27">
        <f>K253</f>
        <v>0.11</v>
      </c>
      <c r="O253" s="27">
        <f>K253</f>
        <v>0.11</v>
      </c>
    </row>
    <row r="254" spans="1:9" ht="12.75">
      <c r="A254" s="5"/>
      <c r="D254" s="14" t="s">
        <v>308</v>
      </c>
      <c r="I254" s="2"/>
    </row>
    <row r="255" spans="1:9" ht="12.75">
      <c r="A255" s="5"/>
      <c r="I255" s="2"/>
    </row>
    <row r="256" spans="1:15" ht="12.75">
      <c r="A256" s="12">
        <v>4</v>
      </c>
      <c r="B256" s="13" t="s">
        <v>309</v>
      </c>
      <c r="D256" s="14" t="s">
        <v>310</v>
      </c>
      <c r="E256" s="14" t="s">
        <v>299</v>
      </c>
      <c r="F256" s="14" t="s">
        <v>311</v>
      </c>
      <c r="G256" s="14"/>
      <c r="H256" s="15">
        <v>2.4</v>
      </c>
      <c r="I256" s="16">
        <v>1992</v>
      </c>
      <c r="J256" s="22"/>
      <c r="K256" s="79">
        <f>H256*(148.2/140.3)</f>
        <v>2.535138987883107</v>
      </c>
      <c r="M256" s="27">
        <f>K256</f>
        <v>2.535138987883107</v>
      </c>
      <c r="N256" s="27">
        <f>K256</f>
        <v>2.535138987883107</v>
      </c>
      <c r="O256" s="27">
        <f>K256</f>
        <v>2.535138987883107</v>
      </c>
    </row>
    <row r="257" spans="1:9" ht="12.75">
      <c r="A257" s="5"/>
      <c r="D257" s="14" t="s">
        <v>312</v>
      </c>
      <c r="I257" s="2"/>
    </row>
    <row r="258" spans="1:9" ht="12.75">
      <c r="A258" s="5"/>
      <c r="D258" s="14" t="s">
        <v>313</v>
      </c>
      <c r="I258" s="2"/>
    </row>
    <row r="259" spans="1:9" ht="12.75">
      <c r="A259" s="5"/>
      <c r="I259" s="2"/>
    </row>
    <row r="260" spans="1:15" ht="12.75">
      <c r="A260" s="12">
        <v>6</v>
      </c>
      <c r="B260" s="13" t="s">
        <v>194</v>
      </c>
      <c r="D260" s="14" t="s">
        <v>314</v>
      </c>
      <c r="E260" s="14" t="s">
        <v>315</v>
      </c>
      <c r="F260" s="14" t="s">
        <v>300</v>
      </c>
      <c r="G260" s="14"/>
      <c r="H260" s="15">
        <v>27</v>
      </c>
      <c r="I260" s="16">
        <v>1992</v>
      </c>
      <c r="J260" s="22"/>
      <c r="K260" s="79">
        <f>H260*(148.2/140.3)</f>
        <v>28.52031361368496</v>
      </c>
      <c r="M260" s="27">
        <f>K260</f>
        <v>28.52031361368496</v>
      </c>
      <c r="N260" s="27">
        <f>K260</f>
        <v>28.52031361368496</v>
      </c>
      <c r="O260" s="27">
        <f>K260</f>
        <v>28.52031361368496</v>
      </c>
    </row>
    <row r="261" spans="1:9" ht="12.75">
      <c r="A261" s="5"/>
      <c r="D261" s="14" t="s">
        <v>316</v>
      </c>
      <c r="I261" s="2"/>
    </row>
    <row r="262" spans="1:9" ht="12.75">
      <c r="A262" s="5"/>
      <c r="D262" s="14" t="s">
        <v>298</v>
      </c>
      <c r="I262" s="2"/>
    </row>
    <row r="263" spans="1:9" ht="12.75">
      <c r="A263" s="5"/>
      <c r="D263" s="14" t="s">
        <v>310</v>
      </c>
      <c r="I263" s="2"/>
    </row>
    <row r="264" spans="1:9" ht="12.75">
      <c r="A264" s="5"/>
      <c r="D264" s="14"/>
      <c r="I264" s="2"/>
    </row>
    <row r="265" spans="1:15" ht="12.75">
      <c r="A265" s="12">
        <v>7</v>
      </c>
      <c r="B265" s="13" t="s">
        <v>317</v>
      </c>
      <c r="D265" s="14" t="s">
        <v>298</v>
      </c>
      <c r="E265" s="14" t="s">
        <v>299</v>
      </c>
      <c r="F265" s="14" t="s">
        <v>318</v>
      </c>
      <c r="G265" s="14"/>
      <c r="H265" s="15">
        <v>1.2</v>
      </c>
      <c r="I265" s="16">
        <v>1994</v>
      </c>
      <c r="J265" s="22"/>
      <c r="K265" s="79">
        <v>1.2</v>
      </c>
      <c r="M265" s="27">
        <f>K265</f>
        <v>1.2</v>
      </c>
      <c r="N265" s="27">
        <f>K265</f>
        <v>1.2</v>
      </c>
      <c r="O265" s="27">
        <f>K265</f>
        <v>1.2</v>
      </c>
    </row>
    <row r="266" spans="1:9" ht="12.75">
      <c r="A266" s="5"/>
      <c r="B266" s="13" t="s">
        <v>319</v>
      </c>
      <c r="D266" s="14" t="s">
        <v>320</v>
      </c>
      <c r="I266" s="2"/>
    </row>
    <row r="267" spans="1:9" ht="12.75">
      <c r="A267" s="5"/>
      <c r="D267" s="14" t="s">
        <v>321</v>
      </c>
      <c r="I267" s="2"/>
    </row>
    <row r="268" spans="1:9" ht="12.75">
      <c r="A268" s="5"/>
      <c r="D268" s="14" t="s">
        <v>302</v>
      </c>
      <c r="I268" s="2"/>
    </row>
    <row r="269" spans="1:9" ht="12.75">
      <c r="A269" s="5"/>
      <c r="I269" s="2"/>
    </row>
    <row r="270" spans="1:15" ht="12.75">
      <c r="A270" s="12">
        <v>9</v>
      </c>
      <c r="B270" s="13" t="s">
        <v>213</v>
      </c>
      <c r="D270" s="14" t="s">
        <v>322</v>
      </c>
      <c r="F270" s="14" t="s">
        <v>55</v>
      </c>
      <c r="G270" s="14"/>
      <c r="H270" s="15">
        <v>87</v>
      </c>
      <c r="I270" s="16">
        <v>1994</v>
      </c>
      <c r="J270" s="22"/>
      <c r="K270" s="79">
        <v>87</v>
      </c>
      <c r="L270"/>
      <c r="M270" s="27">
        <f>K270</f>
        <v>87</v>
      </c>
      <c r="N270" s="27">
        <f>K270</f>
        <v>87</v>
      </c>
      <c r="O270" s="27">
        <f>K270</f>
        <v>87</v>
      </c>
    </row>
    <row r="271" ht="12.75">
      <c r="L271"/>
    </row>
    <row r="272" spans="1:15" ht="12.75">
      <c r="A272" s="12">
        <v>10</v>
      </c>
      <c r="B272" s="13" t="s">
        <v>323</v>
      </c>
      <c r="D272" s="14" t="s">
        <v>322</v>
      </c>
      <c r="F272" s="14" t="s">
        <v>55</v>
      </c>
      <c r="G272" s="14"/>
      <c r="H272" s="15">
        <v>25</v>
      </c>
      <c r="I272" s="16">
        <v>1994</v>
      </c>
      <c r="J272" s="22"/>
      <c r="K272" s="79">
        <v>25</v>
      </c>
      <c r="L272"/>
      <c r="M272" s="27">
        <f>K272</f>
        <v>25</v>
      </c>
      <c r="N272" s="27">
        <f>K272</f>
        <v>25</v>
      </c>
      <c r="O272" s="27">
        <f>K272</f>
        <v>25</v>
      </c>
    </row>
    <row r="273" spans="1:12" ht="12.75">
      <c r="A273" s="5"/>
      <c r="I273" s="2"/>
      <c r="L273"/>
    </row>
    <row r="274" spans="1:15" ht="12.75">
      <c r="A274" s="12">
        <v>11</v>
      </c>
      <c r="B274" s="13" t="s">
        <v>93</v>
      </c>
      <c r="D274" s="14" t="s">
        <v>322</v>
      </c>
      <c r="F274" s="14" t="s">
        <v>55</v>
      </c>
      <c r="G274" s="14"/>
      <c r="H274" s="15">
        <v>22.6</v>
      </c>
      <c r="I274" s="16">
        <v>1994</v>
      </c>
      <c r="J274" s="22"/>
      <c r="K274" s="79">
        <v>22.6</v>
      </c>
      <c r="L274"/>
      <c r="M274" s="27">
        <f>K274</f>
        <v>22.6</v>
      </c>
      <c r="N274" s="27">
        <f>K274</f>
        <v>22.6</v>
      </c>
      <c r="O274" s="27">
        <f>K274</f>
        <v>22.6</v>
      </c>
    </row>
    <row r="275" spans="1:12" ht="12.75">
      <c r="A275" s="5"/>
      <c r="I275" s="2"/>
      <c r="L275"/>
    </row>
    <row r="276" spans="1:15" ht="12.75">
      <c r="A276" s="12">
        <v>13</v>
      </c>
      <c r="B276" s="13" t="s">
        <v>98</v>
      </c>
      <c r="D276" s="14" t="s">
        <v>324</v>
      </c>
      <c r="E276" s="14" t="s">
        <v>315</v>
      </c>
      <c r="F276" s="14" t="s">
        <v>325</v>
      </c>
      <c r="G276" s="14"/>
      <c r="H276" s="15">
        <v>54</v>
      </c>
      <c r="I276" s="16">
        <v>1992</v>
      </c>
      <c r="J276" s="22"/>
      <c r="K276" s="79">
        <f>H276*(148.2/140.3)</f>
        <v>57.04062722736992</v>
      </c>
      <c r="L276"/>
      <c r="M276" s="27">
        <f>K276</f>
        <v>57.04062722736992</v>
      </c>
      <c r="N276" s="27">
        <f>K276</f>
        <v>57.04062722736992</v>
      </c>
      <c r="O276" s="27">
        <f>K276</f>
        <v>57.04062722736992</v>
      </c>
    </row>
    <row r="277" spans="1:12" ht="12.75">
      <c r="A277" s="5"/>
      <c r="F277" s="14" t="s">
        <v>326</v>
      </c>
      <c r="G277" s="14"/>
      <c r="I277" s="2"/>
      <c r="L277"/>
    </row>
    <row r="278" spans="1:12" ht="12.75">
      <c r="A278" s="5"/>
      <c r="I278" s="2"/>
      <c r="L278"/>
    </row>
    <row r="279" spans="1:15" ht="12.75">
      <c r="A279" s="12">
        <v>15</v>
      </c>
      <c r="B279" s="13" t="s">
        <v>243</v>
      </c>
      <c r="D279" s="14" t="s">
        <v>327</v>
      </c>
      <c r="E279" s="14" t="s">
        <v>315</v>
      </c>
      <c r="F279" s="14" t="s">
        <v>55</v>
      </c>
      <c r="G279" s="14"/>
      <c r="H279" s="15">
        <v>0.01</v>
      </c>
      <c r="I279" s="16">
        <v>1992</v>
      </c>
      <c r="J279" s="22"/>
      <c r="K279" s="79">
        <f>H279*(148.2/140.3)</f>
        <v>0.010563079116179614</v>
      </c>
      <c r="L279"/>
      <c r="M279" s="27">
        <f>K279</f>
        <v>0.010563079116179614</v>
      </c>
      <c r="N279" s="27">
        <f>K279</f>
        <v>0.010563079116179614</v>
      </c>
      <c r="O279" s="27">
        <f>K279</f>
        <v>0.010563079116179614</v>
      </c>
    </row>
    <row r="280" spans="1:13" ht="12.75">
      <c r="A280" s="5"/>
      <c r="I280" s="2"/>
      <c r="M280"/>
    </row>
    <row r="281" spans="1:13" ht="12.75">
      <c r="A281" s="12">
        <v>16</v>
      </c>
      <c r="B281" s="13" t="s">
        <v>68</v>
      </c>
      <c r="I281" s="2"/>
      <c r="M281"/>
    </row>
    <row r="282" spans="1:15" ht="12.75">
      <c r="A282" s="5"/>
      <c r="C282" s="14" t="s">
        <v>328</v>
      </c>
      <c r="D282" s="14" t="s">
        <v>329</v>
      </c>
      <c r="E282" s="14" t="s">
        <v>72</v>
      </c>
      <c r="F282" s="14" t="s">
        <v>330</v>
      </c>
      <c r="G282" s="14"/>
      <c r="H282" s="15">
        <v>0.8</v>
      </c>
      <c r="I282" s="16">
        <v>1994</v>
      </c>
      <c r="J282" s="22"/>
      <c r="K282" s="79">
        <v>0.8</v>
      </c>
      <c r="L282" s="27">
        <f>K282</f>
        <v>0.8</v>
      </c>
      <c r="M282"/>
      <c r="N282"/>
      <c r="O282"/>
    </row>
    <row r="283" spans="1:15" ht="12.75">
      <c r="A283" s="5"/>
      <c r="C283" s="14" t="s">
        <v>331</v>
      </c>
      <c r="D283" s="14" t="s">
        <v>332</v>
      </c>
      <c r="I283" s="2"/>
      <c r="M283"/>
      <c r="N283"/>
      <c r="O283"/>
    </row>
    <row r="284" spans="1:15" ht="12.75">
      <c r="A284" s="5"/>
      <c r="I284" s="2"/>
      <c r="M284"/>
      <c r="N284"/>
      <c r="O284"/>
    </row>
    <row r="285" spans="1:15" ht="12.75">
      <c r="A285" s="5"/>
      <c r="C285" s="14" t="s">
        <v>333</v>
      </c>
      <c r="D285" s="14" t="s">
        <v>334</v>
      </c>
      <c r="E285" s="14" t="s">
        <v>72</v>
      </c>
      <c r="F285" s="14" t="s">
        <v>335</v>
      </c>
      <c r="G285" s="14"/>
      <c r="H285" s="15">
        <v>0.31</v>
      </c>
      <c r="I285" s="16">
        <v>1982</v>
      </c>
      <c r="J285" s="22"/>
      <c r="K285" s="79">
        <f>H285*(148.2/96.5)</f>
        <v>0.4760829015544041</v>
      </c>
      <c r="L285" s="27">
        <f>K285</f>
        <v>0.4760829015544041</v>
      </c>
      <c r="M285"/>
      <c r="N285"/>
      <c r="O285"/>
    </row>
    <row r="286" spans="1:15" ht="12.75">
      <c r="A286" s="5"/>
      <c r="I286" s="2"/>
      <c r="M286"/>
      <c r="N286"/>
      <c r="O286"/>
    </row>
    <row r="287" spans="1:15" ht="12.75">
      <c r="A287" s="5"/>
      <c r="C287" s="14" t="s">
        <v>336</v>
      </c>
      <c r="D287" s="14" t="s">
        <v>176</v>
      </c>
      <c r="E287" s="14" t="s">
        <v>72</v>
      </c>
      <c r="F287" s="14" t="s">
        <v>337</v>
      </c>
      <c r="G287" s="14"/>
      <c r="H287" s="15">
        <v>0.4</v>
      </c>
      <c r="I287" s="16">
        <v>1991</v>
      </c>
      <c r="J287" s="22"/>
      <c r="K287" s="79">
        <f>H287*(148.2/136.2)</f>
        <v>0.4352422907488987</v>
      </c>
      <c r="L287" s="26">
        <f>K287</f>
        <v>0.4352422907488987</v>
      </c>
      <c r="M287"/>
      <c r="N287"/>
      <c r="O287"/>
    </row>
    <row r="288" spans="1:15" ht="12.75">
      <c r="A288" s="5"/>
      <c r="C288" s="14" t="s">
        <v>338</v>
      </c>
      <c r="I288" s="2"/>
      <c r="L288" s="27">
        <f>L282+L285+L287</f>
        <v>1.7113251923033028</v>
      </c>
      <c r="M288"/>
      <c r="N288"/>
      <c r="O288"/>
    </row>
    <row r="289" spans="1:15" ht="12.75">
      <c r="A289" s="5"/>
      <c r="C289" s="14"/>
      <c r="I289" s="2"/>
      <c r="M289" s="26">
        <f>L288</f>
        <v>1.7113251923033028</v>
      </c>
      <c r="N289" s="26">
        <f>L288</f>
        <v>1.7113251923033028</v>
      </c>
      <c r="O289" s="26">
        <f>AVERAGE(M289:N289)</f>
        <v>1.7113251923033028</v>
      </c>
    </row>
    <row r="290" spans="1:9" ht="12.75">
      <c r="A290" s="5"/>
      <c r="C290" s="14"/>
      <c r="I290" s="2"/>
    </row>
    <row r="291" spans="11:15" ht="12.75">
      <c r="K291" s="71"/>
      <c r="L291" s="29" t="s">
        <v>47</v>
      </c>
      <c r="M291" s="29">
        <f>SUM(M241:M289)</f>
        <v>232.30796810035744</v>
      </c>
      <c r="N291" s="29">
        <f>SUM(N241:N289)</f>
        <v>232.30796810035744</v>
      </c>
      <c r="O291" s="29">
        <f>SUM(O241:O289)</f>
        <v>232.30796810035744</v>
      </c>
    </row>
    <row r="292" spans="1:45" s="11" customFormat="1" ht="12.75">
      <c r="A292" s="17"/>
      <c r="B292" s="17"/>
      <c r="J292" s="23"/>
      <c r="K292" s="78"/>
      <c r="L292" s="28"/>
      <c r="M292" s="28"/>
      <c r="N292" s="28"/>
      <c r="O292" s="28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</row>
    <row r="293" spans="1:45" s="11" customFormat="1" ht="12.75">
      <c r="A293" s="17"/>
      <c r="B293" s="17"/>
      <c r="J293" s="23"/>
      <c r="K293" s="78"/>
      <c r="L293" s="28"/>
      <c r="M293" s="28"/>
      <c r="N293" s="28"/>
      <c r="O293" s="28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</row>
    <row r="295" spans="1:45" s="3" customFormat="1" ht="19.5">
      <c r="A295" s="10" t="s">
        <v>339</v>
      </c>
      <c r="B295" s="9"/>
      <c r="J295" s="20"/>
      <c r="K295" s="77"/>
      <c r="L295" s="26"/>
      <c r="M295" s="26"/>
      <c r="N295" s="26"/>
      <c r="O295" s="26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</row>
    <row r="297" spans="1:45" s="11" customFormat="1" ht="12.75">
      <c r="A297" s="17">
        <v>3</v>
      </c>
      <c r="B297" s="17" t="s">
        <v>49</v>
      </c>
      <c r="C297" s="1"/>
      <c r="J297" s="23"/>
      <c r="K297" s="78"/>
      <c r="L297" s="28"/>
      <c r="M297" s="28"/>
      <c r="N297" s="28"/>
      <c r="O297" s="28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</row>
    <row r="298" spans="2:45" s="11" customFormat="1" ht="12.75">
      <c r="B298" s="3" t="s">
        <v>340</v>
      </c>
      <c r="C298" s="3"/>
      <c r="J298" s="23"/>
      <c r="K298" s="78"/>
      <c r="L298" s="28"/>
      <c r="M298" s="28"/>
      <c r="N298" s="28"/>
      <c r="O298" s="2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</row>
    <row r="299" spans="3:45" s="11" customFormat="1" ht="12.75">
      <c r="C299" s="11" t="s">
        <v>341</v>
      </c>
      <c r="D299" s="11" t="s">
        <v>342</v>
      </c>
      <c r="E299" s="11" t="s">
        <v>343</v>
      </c>
      <c r="F299" s="11" t="s">
        <v>78</v>
      </c>
      <c r="H299" s="11">
        <v>1</v>
      </c>
      <c r="I299" s="11">
        <v>1983</v>
      </c>
      <c r="J299" s="23">
        <f>148.2/99.6</f>
        <v>1.4879518072289157</v>
      </c>
      <c r="K299" s="78">
        <f>H299*J299</f>
        <v>1.4879518072289157</v>
      </c>
      <c r="L299" s="28"/>
      <c r="M299" s="28"/>
      <c r="N299" s="28"/>
      <c r="O299" s="27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</row>
    <row r="300" spans="4:45" s="11" customFormat="1" ht="12.75">
      <c r="D300" s="11" t="s">
        <v>344</v>
      </c>
      <c r="E300" s="11" t="s">
        <v>72</v>
      </c>
      <c r="F300" s="11" t="s">
        <v>78</v>
      </c>
      <c r="H300" s="11">
        <v>474</v>
      </c>
      <c r="I300" s="11" t="s">
        <v>345</v>
      </c>
      <c r="J300" s="23">
        <f>148.2/124</f>
        <v>1.1951612903225806</v>
      </c>
      <c r="K300" s="78">
        <f>H300*J300</f>
        <v>566.5064516129032</v>
      </c>
      <c r="L300" s="28"/>
      <c r="M300" s="28"/>
      <c r="N300" s="28"/>
      <c r="O300" s="28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</row>
    <row r="301" spans="4:45" s="11" customFormat="1" ht="12.75">
      <c r="D301" s="11" t="s">
        <v>342</v>
      </c>
      <c r="E301" s="11" t="s">
        <v>343</v>
      </c>
      <c r="F301" s="11" t="s">
        <v>78</v>
      </c>
      <c r="H301" s="11">
        <v>2</v>
      </c>
      <c r="I301" s="11" t="s">
        <v>346</v>
      </c>
      <c r="J301" s="23">
        <f>148.2/99.6</f>
        <v>1.4879518072289157</v>
      </c>
      <c r="K301" s="78">
        <f>H301*J301</f>
        <v>2.9759036144578315</v>
      </c>
      <c r="L301" s="28"/>
      <c r="M301" s="28"/>
      <c r="N301" s="28"/>
      <c r="O301" s="28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</row>
    <row r="302" spans="3:45" s="11" customFormat="1" ht="12.75">
      <c r="C302" s="11" t="s">
        <v>347</v>
      </c>
      <c r="D302" s="11" t="s">
        <v>348</v>
      </c>
      <c r="E302" s="11" t="s">
        <v>349</v>
      </c>
      <c r="F302" s="11" t="s">
        <v>350</v>
      </c>
      <c r="H302" s="11">
        <v>4500</v>
      </c>
      <c r="I302" s="11">
        <v>1981</v>
      </c>
      <c r="J302" s="23">
        <f>148.2/90.9</f>
        <v>1.63036303630363</v>
      </c>
      <c r="K302" s="78">
        <f>H302*J302</f>
        <v>7336.633663366336</v>
      </c>
      <c r="L302" s="28"/>
      <c r="M302" s="28">
        <f>MIN(K299:K302)</f>
        <v>1.4879518072289157</v>
      </c>
      <c r="N302" s="28">
        <f>MAX(K299:K302)</f>
        <v>7336.633663366336</v>
      </c>
      <c r="O302" s="28">
        <f>AVERAGE(K299:K302)</f>
        <v>1976.9009926002313</v>
      </c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</row>
    <row r="303" spans="2:45" s="11" customFormat="1" ht="12.75">
      <c r="B303" s="3" t="s">
        <v>351</v>
      </c>
      <c r="C303" s="3"/>
      <c r="J303" s="23"/>
      <c r="K303" s="78"/>
      <c r="L303" s="28"/>
      <c r="M303" s="28"/>
      <c r="N303" s="28"/>
      <c r="O303" s="28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</row>
    <row r="304" spans="3:45" s="11" customFormat="1" ht="12.75">
      <c r="C304" s="11" t="s">
        <v>341</v>
      </c>
      <c r="D304" s="11" t="s">
        <v>352</v>
      </c>
      <c r="E304" s="11" t="s">
        <v>353</v>
      </c>
      <c r="F304" s="11" t="s">
        <v>166</v>
      </c>
      <c r="H304" s="11">
        <v>1500</v>
      </c>
      <c r="I304" s="11">
        <v>1990</v>
      </c>
      <c r="J304" s="23"/>
      <c r="K304" s="78">
        <v>1701</v>
      </c>
      <c r="L304" s="28"/>
      <c r="M304" s="26">
        <f>MIN(K304:K304)</f>
        <v>1701</v>
      </c>
      <c r="N304" s="26">
        <f>MAX(K304:K304)</f>
        <v>1701</v>
      </c>
      <c r="O304" s="26">
        <f>AVERAGE(K304:K304)</f>
        <v>1701</v>
      </c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</row>
    <row r="305" spans="10:45" s="11" customFormat="1" ht="12.75">
      <c r="J305" s="23"/>
      <c r="K305" s="78"/>
      <c r="L305" s="44" t="s">
        <v>25</v>
      </c>
      <c r="M305" s="28">
        <f>(M302+M304)/2</f>
        <v>851.2439759036145</v>
      </c>
      <c r="N305" s="28">
        <f>(N302+N304)/2</f>
        <v>4518.816831683168</v>
      </c>
      <c r="O305" s="28">
        <f>(O302+O304)/2</f>
        <v>1838.9504963001157</v>
      </c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</row>
    <row r="306" spans="1:45" s="11" customFormat="1" ht="12.75">
      <c r="A306" s="17">
        <v>9</v>
      </c>
      <c r="B306" s="17" t="s">
        <v>213</v>
      </c>
      <c r="C306" s="17"/>
      <c r="J306" s="23"/>
      <c r="K306" s="78"/>
      <c r="L306" s="28"/>
      <c r="M306" s="28"/>
      <c r="N306" s="28"/>
      <c r="O306" s="28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</row>
    <row r="307" spans="1:15" ht="12.75">
      <c r="A307" s="11"/>
      <c r="B307" s="3" t="s">
        <v>340</v>
      </c>
      <c r="C307" s="3"/>
      <c r="D307" s="11"/>
      <c r="E307" s="11"/>
      <c r="F307" s="11"/>
      <c r="G307" s="11"/>
      <c r="H307" s="11"/>
      <c r="I307" s="11"/>
      <c r="J307" s="23"/>
      <c r="K307" s="78"/>
      <c r="L307" s="28"/>
      <c r="M307" s="28"/>
      <c r="N307" s="28"/>
      <c r="O307" s="28"/>
    </row>
    <row r="308" spans="1:15" ht="12.75">
      <c r="A308" s="11"/>
      <c r="B308" s="11"/>
      <c r="C308" s="11" t="s">
        <v>354</v>
      </c>
      <c r="D308" s="11" t="s">
        <v>53</v>
      </c>
      <c r="E308" s="11" t="s">
        <v>349</v>
      </c>
      <c r="F308" s="11" t="s">
        <v>355</v>
      </c>
      <c r="G308" s="11"/>
      <c r="H308" s="11">
        <v>4500</v>
      </c>
      <c r="I308" s="11">
        <v>1983</v>
      </c>
      <c r="J308" s="23">
        <f>148.2/99.6</f>
        <v>1.4879518072289157</v>
      </c>
      <c r="K308" s="78">
        <f>H308*J308</f>
        <v>6695.78313253012</v>
      </c>
      <c r="L308" s="28"/>
      <c r="M308" s="28">
        <f>K308</f>
        <v>6695.78313253012</v>
      </c>
      <c r="N308" s="28">
        <f>K308</f>
        <v>6695.78313253012</v>
      </c>
      <c r="O308" s="28">
        <f>K308</f>
        <v>6695.78313253012</v>
      </c>
    </row>
    <row r="309" spans="1:15" ht="12.75">
      <c r="A309" s="11"/>
      <c r="B309" s="11"/>
      <c r="C309" s="11"/>
      <c r="D309" s="11"/>
      <c r="E309" s="11"/>
      <c r="F309" s="11"/>
      <c r="G309" s="11"/>
      <c r="H309" s="11"/>
      <c r="I309" s="11"/>
      <c r="J309" s="23"/>
      <c r="K309" s="78"/>
      <c r="L309" s="28"/>
      <c r="M309" s="28"/>
      <c r="N309" s="28"/>
      <c r="O309" s="28"/>
    </row>
    <row r="310" spans="1:15" ht="12.75">
      <c r="A310" s="17">
        <v>12</v>
      </c>
      <c r="B310" s="17" t="s">
        <v>57</v>
      </c>
      <c r="C310" s="11"/>
      <c r="D310" s="11"/>
      <c r="E310" s="11"/>
      <c r="F310" s="11"/>
      <c r="G310" s="11"/>
      <c r="H310" s="11"/>
      <c r="I310" s="11"/>
      <c r="J310" s="23"/>
      <c r="K310" s="78"/>
      <c r="L310" s="28"/>
      <c r="M310" s="28"/>
      <c r="N310" s="28"/>
      <c r="O310" s="28"/>
    </row>
    <row r="311" spans="1:15" ht="12.75">
      <c r="A311" s="11"/>
      <c r="B311" s="3" t="s">
        <v>340</v>
      </c>
      <c r="C311" s="3"/>
      <c r="D311" s="11"/>
      <c r="E311" s="11"/>
      <c r="F311" s="11"/>
      <c r="G311" s="11"/>
      <c r="H311" s="11"/>
      <c r="I311" s="11"/>
      <c r="J311" s="23"/>
      <c r="K311" s="78"/>
      <c r="L311" s="28"/>
      <c r="M311" s="28"/>
      <c r="N311" s="28"/>
      <c r="O311" s="28"/>
    </row>
    <row r="312" spans="1:15" ht="12.75">
      <c r="A312" s="11"/>
      <c r="B312" s="11"/>
      <c r="C312" s="11" t="s">
        <v>356</v>
      </c>
      <c r="D312" s="11" t="s">
        <v>53</v>
      </c>
      <c r="E312" s="11" t="s">
        <v>59</v>
      </c>
      <c r="F312" s="11" t="s">
        <v>355</v>
      </c>
      <c r="G312" s="11"/>
      <c r="H312" s="11">
        <v>120</v>
      </c>
      <c r="I312" s="11">
        <v>1981</v>
      </c>
      <c r="J312" s="23">
        <f>148.2/90.9</f>
        <v>1.63036303630363</v>
      </c>
      <c r="K312" s="78">
        <f>H312*J312</f>
        <v>195.6435643564356</v>
      </c>
      <c r="L312" s="28"/>
      <c r="M312" s="28">
        <f>K312</f>
        <v>195.6435643564356</v>
      </c>
      <c r="N312" s="28">
        <f>K312</f>
        <v>195.6435643564356</v>
      </c>
      <c r="O312" s="28">
        <f>K312</f>
        <v>195.6435643564356</v>
      </c>
    </row>
    <row r="313" spans="2:3" ht="12.75">
      <c r="B313" s="3" t="s">
        <v>351</v>
      </c>
      <c r="C313" s="3"/>
    </row>
    <row r="314" spans="1:15" ht="12.75">
      <c r="A314" s="11"/>
      <c r="B314" s="11"/>
      <c r="C314" s="11" t="s">
        <v>357</v>
      </c>
      <c r="D314" s="11" t="s">
        <v>352</v>
      </c>
      <c r="E314" s="11" t="s">
        <v>59</v>
      </c>
      <c r="F314" s="11" t="s">
        <v>358</v>
      </c>
      <c r="G314" s="11"/>
      <c r="H314" s="11">
        <v>100</v>
      </c>
      <c r="I314" s="11">
        <v>1977</v>
      </c>
      <c r="J314" s="23">
        <f>148.2/103.9</f>
        <v>1.4263715110683348</v>
      </c>
      <c r="K314" s="78">
        <f>H314*J314</f>
        <v>142.63715110683347</v>
      </c>
      <c r="L314" s="28"/>
      <c r="M314" s="26">
        <f>K314</f>
        <v>142.63715110683347</v>
      </c>
      <c r="N314" s="26">
        <f>K314</f>
        <v>142.63715110683347</v>
      </c>
      <c r="O314" s="26">
        <f>K314</f>
        <v>142.63715110683347</v>
      </c>
    </row>
    <row r="315" spans="12:15" ht="12.75">
      <c r="L315" s="44" t="s">
        <v>25</v>
      </c>
      <c r="M315" s="27">
        <f>(M312+M314)/2</f>
        <v>169.14035773163454</v>
      </c>
      <c r="N315" s="27">
        <f>(N312+N314)/2</f>
        <v>169.14035773163454</v>
      </c>
      <c r="O315" s="27">
        <f>(O312+O314)/2</f>
        <v>169.14035773163454</v>
      </c>
    </row>
    <row r="316" spans="1:2" ht="12.75">
      <c r="A316" s="4">
        <v>13</v>
      </c>
      <c r="B316" s="4" t="s">
        <v>39</v>
      </c>
    </row>
    <row r="317" spans="2:3" ht="12.75">
      <c r="B317" s="3" t="s">
        <v>340</v>
      </c>
      <c r="C317" s="3"/>
    </row>
    <row r="318" spans="1:14" ht="12.75">
      <c r="A318" s="11"/>
      <c r="B318" s="11"/>
      <c r="C318" s="11" t="s">
        <v>66</v>
      </c>
      <c r="D318" s="11" t="s">
        <v>359</v>
      </c>
      <c r="E318" s="11" t="s">
        <v>60</v>
      </c>
      <c r="F318" s="11" t="s">
        <v>78</v>
      </c>
      <c r="G318" s="11"/>
      <c r="H318" s="11">
        <v>10</v>
      </c>
      <c r="I318" s="11" t="s">
        <v>360</v>
      </c>
      <c r="J318" s="23">
        <f>144.3/72</f>
        <v>2.004166666666667</v>
      </c>
      <c r="K318" s="78">
        <f>H318*J318</f>
        <v>20.041666666666668</v>
      </c>
      <c r="L318" s="28"/>
      <c r="M318" s="28"/>
      <c r="N318" s="28"/>
    </row>
    <row r="319" spans="1:15" ht="12.75">
      <c r="A319" s="11"/>
      <c r="B319" s="11"/>
      <c r="C319" s="11"/>
      <c r="D319" s="11" t="s">
        <v>344</v>
      </c>
      <c r="E319" s="11" t="s">
        <v>72</v>
      </c>
      <c r="F319" s="11" t="s">
        <v>78</v>
      </c>
      <c r="G319" s="11"/>
      <c r="H319" s="11">
        <v>79</v>
      </c>
      <c r="I319" s="11" t="s">
        <v>345</v>
      </c>
      <c r="J319" s="23">
        <f>144.3/132.8</f>
        <v>1.0865963855421688</v>
      </c>
      <c r="K319" s="78">
        <f>H319*J319</f>
        <v>85.84111445783134</v>
      </c>
      <c r="L319" s="28"/>
      <c r="M319" s="28"/>
      <c r="N319" s="28"/>
      <c r="O319" s="28"/>
    </row>
    <row r="320" spans="1:15" ht="12.75">
      <c r="A320" s="11"/>
      <c r="B320" s="11"/>
      <c r="C320" s="11"/>
      <c r="D320" s="11" t="s">
        <v>342</v>
      </c>
      <c r="E320" s="11" t="s">
        <v>59</v>
      </c>
      <c r="F320" s="11" t="s">
        <v>78</v>
      </c>
      <c r="G320" s="11"/>
      <c r="H320" s="11">
        <v>95</v>
      </c>
      <c r="I320" s="11">
        <v>1983</v>
      </c>
      <c r="J320" s="23">
        <f>144.3/99.4</f>
        <v>1.4517102615694166</v>
      </c>
      <c r="K320" s="78">
        <f>H320*J320</f>
        <v>137.9124748490946</v>
      </c>
      <c r="L320" s="28"/>
      <c r="M320" s="28"/>
      <c r="N320" s="28"/>
      <c r="O320" s="28"/>
    </row>
    <row r="321" spans="1:15" ht="12.75">
      <c r="A321" s="11"/>
      <c r="B321" s="11"/>
      <c r="C321" s="11"/>
      <c r="D321" s="11" t="s">
        <v>361</v>
      </c>
      <c r="E321" s="11" t="s">
        <v>59</v>
      </c>
      <c r="F321" s="11" t="s">
        <v>78</v>
      </c>
      <c r="G321" s="11"/>
      <c r="H321" s="11">
        <v>707</v>
      </c>
      <c r="I321" s="11" t="s">
        <v>360</v>
      </c>
      <c r="J321" s="23">
        <f>144.3/72</f>
        <v>2.004166666666667</v>
      </c>
      <c r="K321" s="78">
        <f>H321*J321</f>
        <v>1416.9458333333334</v>
      </c>
      <c r="L321" s="28"/>
      <c r="M321" s="28"/>
      <c r="N321" s="28"/>
      <c r="O321" s="28"/>
    </row>
    <row r="322" spans="1:15" ht="12.75">
      <c r="A322" s="11"/>
      <c r="B322" s="11"/>
      <c r="C322" s="11"/>
      <c r="D322" s="11" t="s">
        <v>362</v>
      </c>
      <c r="E322" s="11" t="s">
        <v>59</v>
      </c>
      <c r="F322" s="11" t="s">
        <v>78</v>
      </c>
      <c r="G322" s="11"/>
      <c r="H322" s="11">
        <v>100</v>
      </c>
      <c r="I322" s="11" t="s">
        <v>363</v>
      </c>
      <c r="J322" s="23">
        <f>144.3/118.2</f>
        <v>1.220812182741117</v>
      </c>
      <c r="K322" s="78">
        <f>H322*J322</f>
        <v>122.08121827411169</v>
      </c>
      <c r="L322" s="28"/>
      <c r="M322" s="28"/>
      <c r="N322" s="28"/>
      <c r="O322" s="28"/>
    </row>
    <row r="323" spans="1:15" ht="12.75">
      <c r="A323" s="11"/>
      <c r="B323" s="11"/>
      <c r="C323" s="11"/>
      <c r="D323" s="11" t="s">
        <v>364</v>
      </c>
      <c r="E323" s="11" t="s">
        <v>365</v>
      </c>
      <c r="F323" s="11" t="s">
        <v>78</v>
      </c>
      <c r="G323" s="11"/>
      <c r="H323" s="11" t="s">
        <v>366</v>
      </c>
      <c r="I323" s="11" t="s">
        <v>367</v>
      </c>
      <c r="J323" s="23">
        <f>144.3/39.2</f>
        <v>3.681122448979592</v>
      </c>
      <c r="K323" s="78">
        <f>66*J323</f>
        <v>242.95408163265307</v>
      </c>
      <c r="L323" s="28"/>
      <c r="M323" s="28"/>
      <c r="N323" s="28"/>
      <c r="O323" s="28"/>
    </row>
    <row r="324" spans="1:15" ht="12.75">
      <c r="A324" s="11"/>
      <c r="B324" s="11"/>
      <c r="C324" s="11"/>
      <c r="D324" s="11" t="s">
        <v>368</v>
      </c>
      <c r="E324" s="11" t="s">
        <v>365</v>
      </c>
      <c r="F324" s="11" t="s">
        <v>78</v>
      </c>
      <c r="G324" s="11"/>
      <c r="H324" s="11">
        <v>7</v>
      </c>
      <c r="I324" s="11" t="s">
        <v>367</v>
      </c>
      <c r="J324" s="23">
        <f>144.3/39.2</f>
        <v>3.681122448979592</v>
      </c>
      <c r="K324" s="78">
        <f aca="true" t="shared" si="3" ref="K324:K330">H324*J324</f>
        <v>25.767857142857142</v>
      </c>
      <c r="L324" s="28"/>
      <c r="M324" s="28"/>
      <c r="N324" s="28"/>
      <c r="O324" s="28"/>
    </row>
    <row r="325" spans="1:15" ht="12.75">
      <c r="A325" s="11"/>
      <c r="B325" s="11"/>
      <c r="C325" s="11"/>
      <c r="D325" s="11" t="s">
        <v>369</v>
      </c>
      <c r="E325" s="11" t="s">
        <v>365</v>
      </c>
      <c r="F325" s="11" t="s">
        <v>78</v>
      </c>
      <c r="G325" s="11"/>
      <c r="H325" s="11">
        <v>1020</v>
      </c>
      <c r="I325" s="11" t="s">
        <v>370</v>
      </c>
      <c r="J325" s="23">
        <f>144.3/103.2</f>
        <v>1.3982558139534884</v>
      </c>
      <c r="K325" s="78">
        <f t="shared" si="3"/>
        <v>1426.2209302325582</v>
      </c>
      <c r="L325" s="28"/>
      <c r="M325" s="28"/>
      <c r="N325" s="28"/>
      <c r="O325" s="28"/>
    </row>
    <row r="326" spans="1:15" ht="12.75">
      <c r="A326" s="11"/>
      <c r="B326" s="11"/>
      <c r="C326" s="11" t="s">
        <v>371</v>
      </c>
      <c r="D326" s="11" t="s">
        <v>372</v>
      </c>
      <c r="E326" s="11" t="s">
        <v>59</v>
      </c>
      <c r="F326" s="11" t="s">
        <v>78</v>
      </c>
      <c r="G326" s="11"/>
      <c r="H326" s="11">
        <v>23</v>
      </c>
      <c r="I326" s="11">
        <v>1968</v>
      </c>
      <c r="J326" s="23">
        <f>144.3/35.3</f>
        <v>4.087818696883853</v>
      </c>
      <c r="K326" s="78">
        <f t="shared" si="3"/>
        <v>94.01983002832863</v>
      </c>
      <c r="L326" s="28"/>
      <c r="M326" s="28"/>
      <c r="N326" s="28"/>
      <c r="O326" s="28"/>
    </row>
    <row r="327" spans="1:15" ht="12.75">
      <c r="A327" s="11"/>
      <c r="B327" s="11"/>
      <c r="C327" s="11" t="s">
        <v>373</v>
      </c>
      <c r="D327" s="11" t="s">
        <v>374</v>
      </c>
      <c r="E327" s="11" t="s">
        <v>365</v>
      </c>
      <c r="F327" s="11" t="s">
        <v>78</v>
      </c>
      <c r="G327" s="11"/>
      <c r="H327" s="11">
        <v>0.3</v>
      </c>
      <c r="I327" s="11">
        <v>1975</v>
      </c>
      <c r="J327" s="23">
        <f>144.3/59.8</f>
        <v>2.41304347826087</v>
      </c>
      <c r="K327" s="78">
        <f t="shared" si="3"/>
        <v>0.723913043478261</v>
      </c>
      <c r="L327" s="28"/>
      <c r="M327" s="28"/>
      <c r="N327" s="28"/>
      <c r="O327" s="28"/>
    </row>
    <row r="328" spans="1:15" ht="12.75">
      <c r="A328" s="11"/>
      <c r="B328" s="11"/>
      <c r="C328" s="11" t="s">
        <v>375</v>
      </c>
      <c r="D328" s="11" t="s">
        <v>361</v>
      </c>
      <c r="E328" s="11" t="s">
        <v>60</v>
      </c>
      <c r="F328" s="11" t="s">
        <v>78</v>
      </c>
      <c r="G328" s="11"/>
      <c r="H328" s="11">
        <v>8</v>
      </c>
      <c r="I328" s="11" t="s">
        <v>360</v>
      </c>
      <c r="J328" s="23">
        <f>144.3/72</f>
        <v>2.004166666666667</v>
      </c>
      <c r="K328" s="78">
        <f t="shared" si="3"/>
        <v>16.033333333333335</v>
      </c>
      <c r="L328" s="28"/>
      <c r="M328" s="28"/>
      <c r="N328" s="28"/>
      <c r="O328" s="28"/>
    </row>
    <row r="329" spans="1:15" ht="12.75">
      <c r="A329" s="11"/>
      <c r="B329" s="11"/>
      <c r="C329" s="11" t="s">
        <v>376</v>
      </c>
      <c r="D329" s="11" t="s">
        <v>361</v>
      </c>
      <c r="E329" s="11" t="s">
        <v>60</v>
      </c>
      <c r="F329" s="11" t="s">
        <v>78</v>
      </c>
      <c r="G329" s="11"/>
      <c r="H329" s="11">
        <v>29</v>
      </c>
      <c r="I329" s="11" t="s">
        <v>360</v>
      </c>
      <c r="J329" s="23">
        <f>144.3/72</f>
        <v>2.004166666666667</v>
      </c>
      <c r="K329" s="78">
        <f t="shared" si="3"/>
        <v>58.12083333333334</v>
      </c>
      <c r="L329" s="28"/>
      <c r="M329" s="28"/>
      <c r="N329" s="28"/>
      <c r="O329" s="28"/>
    </row>
    <row r="330" spans="1:15" ht="12.75">
      <c r="A330" s="11"/>
      <c r="B330" s="11"/>
      <c r="C330" s="11" t="s">
        <v>377</v>
      </c>
      <c r="D330" s="11" t="s">
        <v>378</v>
      </c>
      <c r="E330" s="11" t="s">
        <v>379</v>
      </c>
      <c r="F330" s="11" t="s">
        <v>78</v>
      </c>
      <c r="G330" s="11"/>
      <c r="H330" s="11">
        <v>96</v>
      </c>
      <c r="I330" s="11" t="s">
        <v>360</v>
      </c>
      <c r="J330" s="23">
        <f>144.3/72</f>
        <v>2.004166666666667</v>
      </c>
      <c r="K330" s="78">
        <f t="shared" si="3"/>
        <v>192.40000000000003</v>
      </c>
      <c r="L330" s="28"/>
      <c r="M330" s="28">
        <f>MIN(K318:K330)</f>
        <v>0.723913043478261</v>
      </c>
      <c r="N330" s="28">
        <f>MAX(K318:K330)</f>
        <v>1426.2209302325582</v>
      </c>
      <c r="O330" s="28">
        <f>AVERAGE(K318:K330)</f>
        <v>295.31254510212153</v>
      </c>
    </row>
    <row r="331" spans="2:3" ht="12.75">
      <c r="B331" s="3" t="s">
        <v>351</v>
      </c>
      <c r="C331" s="3"/>
    </row>
    <row r="332" spans="1:14" ht="12.75">
      <c r="A332" s="11"/>
      <c r="B332" s="11"/>
      <c r="C332" s="11" t="s">
        <v>66</v>
      </c>
      <c r="D332" s="11" t="s">
        <v>352</v>
      </c>
      <c r="E332" s="11" t="s">
        <v>59</v>
      </c>
      <c r="F332" s="11" t="s">
        <v>358</v>
      </c>
      <c r="G332" s="11"/>
      <c r="H332" s="11">
        <v>30</v>
      </c>
      <c r="I332" s="11">
        <v>1977</v>
      </c>
      <c r="J332" s="23">
        <f>144.3/65.5</f>
        <v>2.203053435114504</v>
      </c>
      <c r="K332" s="78">
        <f aca="true" t="shared" si="4" ref="K332:K339">H332*J332</f>
        <v>66.09160305343512</v>
      </c>
      <c r="L332" s="28"/>
      <c r="M332" s="28"/>
      <c r="N332" s="28"/>
    </row>
    <row r="333" spans="1:15" ht="12.75">
      <c r="A333" s="11"/>
      <c r="B333" s="11"/>
      <c r="C333" s="11"/>
      <c r="D333" s="11" t="s">
        <v>380</v>
      </c>
      <c r="E333" s="11" t="s">
        <v>59</v>
      </c>
      <c r="F333" s="11" t="s">
        <v>162</v>
      </c>
      <c r="G333" s="11"/>
      <c r="H333" s="11">
        <v>117</v>
      </c>
      <c r="I333" s="11">
        <v>1991</v>
      </c>
      <c r="J333" s="23">
        <f>144.3/136.3</f>
        <v>1.0586940572267058</v>
      </c>
      <c r="K333" s="78">
        <f t="shared" si="4"/>
        <v>123.86720469552458</v>
      </c>
      <c r="L333" s="28"/>
      <c r="M333" s="28"/>
      <c r="N333" s="28"/>
      <c r="O333" s="28"/>
    </row>
    <row r="334" spans="1:15" ht="12.75">
      <c r="A334" s="11"/>
      <c r="B334" s="11"/>
      <c r="C334" s="11"/>
      <c r="D334" s="11" t="s">
        <v>381</v>
      </c>
      <c r="E334" s="11" t="s">
        <v>59</v>
      </c>
      <c r="F334" s="11" t="s">
        <v>382</v>
      </c>
      <c r="G334" s="11"/>
      <c r="H334" s="11">
        <v>125</v>
      </c>
      <c r="I334" s="11" t="s">
        <v>383</v>
      </c>
      <c r="J334" s="23">
        <f>144.3/103.2</f>
        <v>1.3982558139534884</v>
      </c>
      <c r="K334" s="78">
        <f t="shared" si="4"/>
        <v>174.78197674418604</v>
      </c>
      <c r="L334" s="28"/>
      <c r="M334" s="28"/>
      <c r="N334" s="28"/>
      <c r="O334" s="28"/>
    </row>
    <row r="335" spans="1:15" ht="12.75">
      <c r="A335" s="11"/>
      <c r="B335" s="11"/>
      <c r="C335" s="11"/>
      <c r="D335" s="11" t="s">
        <v>381</v>
      </c>
      <c r="E335" s="11" t="s">
        <v>59</v>
      </c>
      <c r="F335" s="11" t="s">
        <v>384</v>
      </c>
      <c r="G335" s="11"/>
      <c r="H335" s="11">
        <v>640</v>
      </c>
      <c r="I335" s="11" t="s">
        <v>383</v>
      </c>
      <c r="J335" s="23">
        <f>144.3/103.2</f>
        <v>1.3982558139534884</v>
      </c>
      <c r="K335" s="78">
        <f t="shared" si="4"/>
        <v>894.8837209302326</v>
      </c>
      <c r="L335" s="28"/>
      <c r="M335" s="28"/>
      <c r="N335" s="28"/>
      <c r="O335" s="28"/>
    </row>
    <row r="336" spans="1:15" ht="12.75">
      <c r="A336" s="11"/>
      <c r="B336" s="11"/>
      <c r="C336" s="11"/>
      <c r="D336" s="11" t="s">
        <v>381</v>
      </c>
      <c r="E336" s="11" t="s">
        <v>59</v>
      </c>
      <c r="F336" s="11" t="s">
        <v>162</v>
      </c>
      <c r="G336" s="11"/>
      <c r="H336" s="11">
        <v>50</v>
      </c>
      <c r="I336" s="11" t="s">
        <v>383</v>
      </c>
      <c r="J336" s="23">
        <f>144.3/103.2</f>
        <v>1.3982558139534884</v>
      </c>
      <c r="K336" s="78">
        <f t="shared" si="4"/>
        <v>69.91279069767442</v>
      </c>
      <c r="L336" s="28"/>
      <c r="M336" s="28"/>
      <c r="N336" s="28"/>
      <c r="O336" s="28"/>
    </row>
    <row r="337" spans="1:15" ht="12.75">
      <c r="A337" s="11"/>
      <c r="B337" s="11"/>
      <c r="C337" s="11"/>
      <c r="D337" s="11" t="s">
        <v>62</v>
      </c>
      <c r="E337" s="11" t="s">
        <v>385</v>
      </c>
      <c r="F337" s="11" t="s">
        <v>162</v>
      </c>
      <c r="G337" s="11"/>
      <c r="H337" s="11">
        <v>69</v>
      </c>
      <c r="I337" s="11">
        <v>1993</v>
      </c>
      <c r="J337" s="23">
        <f>144.3/140.9</f>
        <v>1.0241305890702626</v>
      </c>
      <c r="K337" s="78">
        <f t="shared" si="4"/>
        <v>70.66501064584811</v>
      </c>
      <c r="L337" s="28"/>
      <c r="M337" s="28"/>
      <c r="N337" s="28"/>
      <c r="O337" s="28"/>
    </row>
    <row r="338" spans="1:15" ht="12.75">
      <c r="A338" s="11"/>
      <c r="B338" s="11"/>
      <c r="C338" s="11"/>
      <c r="D338" s="11" t="s">
        <v>381</v>
      </c>
      <c r="E338" s="11" t="s">
        <v>59</v>
      </c>
      <c r="F338" s="11" t="s">
        <v>125</v>
      </c>
      <c r="G338" s="11"/>
      <c r="H338" s="11">
        <v>1975</v>
      </c>
      <c r="I338" s="11" t="s">
        <v>383</v>
      </c>
      <c r="J338" s="23">
        <f>144.3/103.2</f>
        <v>1.3982558139534884</v>
      </c>
      <c r="K338" s="78">
        <f t="shared" si="4"/>
        <v>2761.55523255814</v>
      </c>
      <c r="L338" s="28"/>
      <c r="M338"/>
      <c r="N338"/>
      <c r="O338"/>
    </row>
    <row r="339" spans="1:15" ht="12.75">
      <c r="A339" s="11"/>
      <c r="B339" s="11"/>
      <c r="C339" s="11" t="s">
        <v>376</v>
      </c>
      <c r="D339" s="11" t="s">
        <v>380</v>
      </c>
      <c r="E339" s="11" t="s">
        <v>386</v>
      </c>
      <c r="F339" s="11" t="s">
        <v>162</v>
      </c>
      <c r="G339" s="11"/>
      <c r="H339" s="11">
        <v>15</v>
      </c>
      <c r="I339" s="11">
        <v>1991</v>
      </c>
      <c r="J339" s="23">
        <f>144.3/136.3</f>
        <v>1.0586940572267058</v>
      </c>
      <c r="K339" s="78">
        <f t="shared" si="4"/>
        <v>15.880410858400587</v>
      </c>
      <c r="L339" s="28"/>
      <c r="M339"/>
      <c r="N339"/>
      <c r="O339"/>
    </row>
    <row r="340" spans="1:15" ht="12.75">
      <c r="A340" s="11"/>
      <c r="B340" s="11"/>
      <c r="C340" s="11" t="s">
        <v>387</v>
      </c>
      <c r="D340" s="11" t="s">
        <v>352</v>
      </c>
      <c r="E340" s="11" t="s">
        <v>59</v>
      </c>
      <c r="F340" s="11" t="s">
        <v>358</v>
      </c>
      <c r="G340" s="11"/>
      <c r="H340" s="11">
        <v>266</v>
      </c>
      <c r="I340" s="11">
        <v>1977</v>
      </c>
      <c r="J340" s="23"/>
      <c r="K340" s="78">
        <v>586</v>
      </c>
      <c r="L340" s="28"/>
      <c r="M340"/>
      <c r="N340"/>
      <c r="O340"/>
    </row>
    <row r="341" spans="1:15" ht="12.75">
      <c r="A341" s="11"/>
      <c r="B341" s="11"/>
      <c r="C341" s="11"/>
      <c r="D341" s="11" t="s">
        <v>381</v>
      </c>
      <c r="E341" s="11" t="s">
        <v>59</v>
      </c>
      <c r="F341" s="11" t="s">
        <v>358</v>
      </c>
      <c r="G341" s="11"/>
      <c r="H341" s="11">
        <v>200</v>
      </c>
      <c r="I341" s="11">
        <v>1984</v>
      </c>
      <c r="J341" s="23"/>
      <c r="K341" s="78">
        <v>280</v>
      </c>
      <c r="L341" s="28"/>
      <c r="M341"/>
      <c r="N341"/>
      <c r="O341"/>
    </row>
    <row r="342" spans="1:15" ht="12.75">
      <c r="A342" s="11"/>
      <c r="B342" s="11"/>
      <c r="C342" s="11"/>
      <c r="D342" s="11" t="s">
        <v>388</v>
      </c>
      <c r="E342" s="11" t="s">
        <v>59</v>
      </c>
      <c r="F342" s="11" t="s">
        <v>389</v>
      </c>
      <c r="G342" s="11"/>
      <c r="H342" s="11">
        <v>1700</v>
      </c>
      <c r="I342" s="11">
        <v>1989</v>
      </c>
      <c r="J342" s="23"/>
      <c r="K342" s="78">
        <v>1961</v>
      </c>
      <c r="L342" s="28"/>
      <c r="M342" s="26">
        <f>MIN(K332:K342)</f>
        <v>15.880410858400587</v>
      </c>
      <c r="N342" s="26">
        <f>MAX(K332:K342)</f>
        <v>2761.55523255814</v>
      </c>
      <c r="O342" s="26">
        <f>AVERAGE(K332:K342)</f>
        <v>636.7852681984947</v>
      </c>
    </row>
    <row r="343" spans="12:15" ht="12.75">
      <c r="L343" s="44" t="s">
        <v>25</v>
      </c>
      <c r="M343" s="28">
        <f>AVERAGE(M330:M342)</f>
        <v>8.302161950939425</v>
      </c>
      <c r="N343" s="28">
        <f>AVERAGE(N330:N342)</f>
        <v>2093.888081395349</v>
      </c>
      <c r="O343" s="28">
        <f>AVERAGE(O330:O342)</f>
        <v>466.04890665030814</v>
      </c>
    </row>
    <row r="344" spans="1:2" ht="12.75">
      <c r="A344" s="4">
        <v>14</v>
      </c>
      <c r="B344" s="4" t="s">
        <v>42</v>
      </c>
    </row>
    <row r="345" spans="2:3" ht="12.75">
      <c r="B345" s="3" t="s">
        <v>340</v>
      </c>
      <c r="C345" s="3"/>
    </row>
    <row r="346" spans="1:14" ht="12.75">
      <c r="A346" s="11"/>
      <c r="B346" s="11"/>
      <c r="C346" s="11" t="s">
        <v>390</v>
      </c>
      <c r="D346" s="11" t="s">
        <v>359</v>
      </c>
      <c r="E346" s="11" t="s">
        <v>60</v>
      </c>
      <c r="F346" s="11" t="s">
        <v>78</v>
      </c>
      <c r="G346" s="11"/>
      <c r="H346" s="11">
        <v>75</v>
      </c>
      <c r="I346" s="11" t="s">
        <v>360</v>
      </c>
      <c r="J346" s="23">
        <f>133.8/68.8</f>
        <v>1.9447674418604655</v>
      </c>
      <c r="K346" s="78">
        <f>H346*J346</f>
        <v>145.85755813953492</v>
      </c>
      <c r="L346" s="28"/>
      <c r="M346" s="28"/>
      <c r="N346" s="28"/>
    </row>
    <row r="347" spans="1:15" ht="12.75">
      <c r="A347" s="11"/>
      <c r="B347" s="11"/>
      <c r="C347" s="11"/>
      <c r="D347" s="11" t="s">
        <v>344</v>
      </c>
      <c r="E347" s="11" t="s">
        <v>72</v>
      </c>
      <c r="F347" s="11" t="s">
        <v>78</v>
      </c>
      <c r="G347" s="11"/>
      <c r="H347" s="11">
        <v>38</v>
      </c>
      <c r="I347" s="11" t="s">
        <v>345</v>
      </c>
      <c r="J347" s="23">
        <f>133.8/116.7</f>
        <v>1.1465295629820051</v>
      </c>
      <c r="K347" s="78">
        <f>H347*J347</f>
        <v>43.5681233933162</v>
      </c>
      <c r="L347" s="28"/>
      <c r="M347" s="28">
        <f>MIN(K346:K347)</f>
        <v>43.5681233933162</v>
      </c>
      <c r="N347" s="28">
        <f>MAX(K346:K347)</f>
        <v>145.85755813953492</v>
      </c>
      <c r="O347" s="28">
        <f>AVERAGE(K346:K347)</f>
        <v>94.71284076642556</v>
      </c>
    </row>
    <row r="348" spans="2:3" ht="12.75">
      <c r="B348" s="3" t="s">
        <v>351</v>
      </c>
      <c r="C348" s="3"/>
    </row>
    <row r="349" spans="1:14" ht="12.75">
      <c r="A349" s="11"/>
      <c r="B349" s="11"/>
      <c r="C349" s="11" t="s">
        <v>391</v>
      </c>
      <c r="D349" s="11" t="s">
        <v>348</v>
      </c>
      <c r="E349" s="11" t="s">
        <v>59</v>
      </c>
      <c r="F349" s="11" t="s">
        <v>358</v>
      </c>
      <c r="G349" s="11"/>
      <c r="H349" s="11" t="s">
        <v>392</v>
      </c>
      <c r="I349" s="11" t="s">
        <v>393</v>
      </c>
      <c r="J349" s="23">
        <f>133.8/129.1</f>
        <v>1.0364058869093726</v>
      </c>
      <c r="K349" s="78">
        <f>215*J349</f>
        <v>222.82726568551513</v>
      </c>
      <c r="L349" s="28"/>
      <c r="M349" s="28"/>
      <c r="N349" s="28"/>
    </row>
    <row r="350" spans="1:15" ht="12.75">
      <c r="A350" s="11"/>
      <c r="B350" s="11"/>
      <c r="C350" s="11" t="s">
        <v>394</v>
      </c>
      <c r="D350" s="11" t="s">
        <v>352</v>
      </c>
      <c r="E350" s="11" t="s">
        <v>59</v>
      </c>
      <c r="F350" s="11" t="s">
        <v>358</v>
      </c>
      <c r="G350" s="11"/>
      <c r="H350" s="11">
        <v>548</v>
      </c>
      <c r="I350" s="11">
        <v>1977</v>
      </c>
      <c r="J350" s="23">
        <f>133.8/64.2</f>
        <v>2.0841121495327104</v>
      </c>
      <c r="K350" s="78">
        <f aca="true" t="shared" si="5" ref="K350:K356">H350*J350</f>
        <v>1142.0934579439254</v>
      </c>
      <c r="L350" s="28"/>
      <c r="M350" s="28"/>
      <c r="N350" s="28"/>
      <c r="O350" s="28"/>
    </row>
    <row r="351" spans="1:15" ht="12.75">
      <c r="A351" s="11"/>
      <c r="B351" s="11"/>
      <c r="C351" s="11" t="s">
        <v>395</v>
      </c>
      <c r="D351" s="11" t="s">
        <v>380</v>
      </c>
      <c r="E351" s="11" t="s">
        <v>396</v>
      </c>
      <c r="F351" s="11" t="s">
        <v>162</v>
      </c>
      <c r="G351" s="11"/>
      <c r="H351" s="11">
        <v>85</v>
      </c>
      <c r="I351" s="11">
        <v>1991</v>
      </c>
      <c r="J351" s="23">
        <f>133.8/126.6</f>
        <v>1.056872037914692</v>
      </c>
      <c r="K351" s="78">
        <f t="shared" si="5"/>
        <v>89.83412322274883</v>
      </c>
      <c r="L351" s="28"/>
      <c r="M351" s="28"/>
      <c r="N351" s="28"/>
      <c r="O351" s="28"/>
    </row>
    <row r="352" spans="1:15" ht="12.75">
      <c r="A352" s="11"/>
      <c r="B352" s="11"/>
      <c r="C352" s="11"/>
      <c r="D352" s="11" t="s">
        <v>381</v>
      </c>
      <c r="E352" s="11" t="s">
        <v>59</v>
      </c>
      <c r="F352" s="11" t="s">
        <v>382</v>
      </c>
      <c r="G352" s="11"/>
      <c r="H352" s="11">
        <v>70</v>
      </c>
      <c r="I352" s="11" t="s">
        <v>383</v>
      </c>
      <c r="J352" s="23">
        <f>133.8/103.2</f>
        <v>1.2965116279069768</v>
      </c>
      <c r="K352" s="78">
        <f t="shared" si="5"/>
        <v>90.75581395348837</v>
      </c>
      <c r="L352" s="28"/>
      <c r="M352" s="28"/>
      <c r="N352" s="28"/>
      <c r="O352" s="28"/>
    </row>
    <row r="353" spans="1:15" ht="12.75">
      <c r="A353" s="11"/>
      <c r="B353" s="11"/>
      <c r="C353" s="11"/>
      <c r="D353" s="11" t="s">
        <v>381</v>
      </c>
      <c r="E353" s="11" t="s">
        <v>59</v>
      </c>
      <c r="F353" s="11" t="s">
        <v>162</v>
      </c>
      <c r="G353" s="11"/>
      <c r="H353" s="11">
        <v>10</v>
      </c>
      <c r="I353" s="11" t="s">
        <v>383</v>
      </c>
      <c r="J353" s="23">
        <f>133.8/103.2</f>
        <v>1.2965116279069768</v>
      </c>
      <c r="K353" s="78">
        <f t="shared" si="5"/>
        <v>12.965116279069768</v>
      </c>
      <c r="L353" s="28"/>
      <c r="M353" s="28"/>
      <c r="N353" s="28"/>
      <c r="O353" s="28"/>
    </row>
    <row r="354" spans="1:15" ht="12.75">
      <c r="A354" s="11"/>
      <c r="B354" s="11"/>
      <c r="C354" s="11"/>
      <c r="D354" s="11" t="s">
        <v>62</v>
      </c>
      <c r="E354" s="11" t="s">
        <v>385</v>
      </c>
      <c r="F354" s="11" t="s">
        <v>162</v>
      </c>
      <c r="G354" s="11"/>
      <c r="H354" s="11">
        <v>17</v>
      </c>
      <c r="I354" s="11">
        <v>1993</v>
      </c>
      <c r="J354" s="23">
        <f>133.8/131.5</f>
        <v>1.0174904942965781</v>
      </c>
      <c r="K354" s="78">
        <f t="shared" si="5"/>
        <v>17.297338403041827</v>
      </c>
      <c r="L354" s="28"/>
      <c r="M354" s="28"/>
      <c r="N354" s="28"/>
      <c r="O354" s="28"/>
    </row>
    <row r="355" spans="1:14" ht="12.75">
      <c r="A355" s="11"/>
      <c r="B355" s="11"/>
      <c r="C355" s="11"/>
      <c r="D355" s="11" t="s">
        <v>381</v>
      </c>
      <c r="E355" s="11" t="s">
        <v>59</v>
      </c>
      <c r="F355" s="11" t="s">
        <v>166</v>
      </c>
      <c r="G355" s="11"/>
      <c r="H355" s="11">
        <v>25</v>
      </c>
      <c r="I355" s="11" t="s">
        <v>383</v>
      </c>
      <c r="J355" s="23">
        <f>133.8/103.2</f>
        <v>1.2965116279069768</v>
      </c>
      <c r="K355" s="78">
        <f t="shared" si="5"/>
        <v>32.412790697674424</v>
      </c>
      <c r="L355" s="28"/>
      <c r="M355" s="28"/>
      <c r="N355" s="28"/>
    </row>
    <row r="356" spans="1:15" ht="12.75">
      <c r="A356" s="11"/>
      <c r="B356" s="11"/>
      <c r="C356" s="11" t="s">
        <v>397</v>
      </c>
      <c r="D356" s="11" t="s">
        <v>348</v>
      </c>
      <c r="E356" s="11" t="s">
        <v>59</v>
      </c>
      <c r="F356" s="11" t="s">
        <v>166</v>
      </c>
      <c r="G356" s="11"/>
      <c r="H356" s="11">
        <v>225</v>
      </c>
      <c r="I356" s="11" t="s">
        <v>393</v>
      </c>
      <c r="J356" s="23">
        <f>133.8/129.1</f>
        <v>1.0364058869093726</v>
      </c>
      <c r="K356" s="78">
        <f t="shared" si="5"/>
        <v>233.19132455460885</v>
      </c>
      <c r="L356" s="28"/>
      <c r="M356" s="26">
        <f>MIN(K349:K356)</f>
        <v>12.965116279069768</v>
      </c>
      <c r="N356" s="26">
        <f>MAX(K349:K356)</f>
        <v>1142.0934579439254</v>
      </c>
      <c r="O356" s="26">
        <f>AVERAGE(K349:K356)</f>
        <v>230.17215384250903</v>
      </c>
    </row>
    <row r="357" spans="1:15" ht="12.75">
      <c r="A357" s="11"/>
      <c r="B357" s="11"/>
      <c r="C357" s="11"/>
      <c r="D357" s="11"/>
      <c r="E357" s="11"/>
      <c r="F357" s="11"/>
      <c r="G357" s="11"/>
      <c r="H357" s="11"/>
      <c r="I357" s="11"/>
      <c r="J357" s="23"/>
      <c r="K357" s="78"/>
      <c r="L357" s="44" t="s">
        <v>25</v>
      </c>
      <c r="M357" s="28">
        <f>(M347+M356)/2</f>
        <v>28.266619836192984</v>
      </c>
      <c r="N357" s="28">
        <f>(N347+N356)/2</f>
        <v>643.9755080417301</v>
      </c>
      <c r="O357" s="28">
        <f>(O347+O356)/2</f>
        <v>162.44249730446728</v>
      </c>
    </row>
    <row r="358" spans="1:2" ht="12.75">
      <c r="A358" s="4">
        <v>16</v>
      </c>
      <c r="B358" s="4" t="s">
        <v>68</v>
      </c>
    </row>
    <row r="359" spans="2:3" ht="12.75">
      <c r="B359" s="3" t="s">
        <v>340</v>
      </c>
      <c r="C359" s="3"/>
    </row>
    <row r="360" spans="1:14" ht="12.75">
      <c r="A360" s="11"/>
      <c r="B360" s="11"/>
      <c r="C360" s="11" t="s">
        <v>398</v>
      </c>
      <c r="D360" s="11" t="s">
        <v>361</v>
      </c>
      <c r="E360" s="11" t="s">
        <v>399</v>
      </c>
      <c r="F360" s="11" t="s">
        <v>78</v>
      </c>
      <c r="G360" s="11"/>
      <c r="H360" s="11">
        <v>406</v>
      </c>
      <c r="I360" s="11" t="s">
        <v>360</v>
      </c>
      <c r="J360" s="23">
        <f>148.2/65.2</f>
        <v>2.2730061349693247</v>
      </c>
      <c r="K360" s="78">
        <f>H360*J360</f>
        <v>922.8404907975458</v>
      </c>
      <c r="L360" s="28"/>
      <c r="M360" s="28"/>
      <c r="N360" s="28"/>
    </row>
    <row r="361" spans="1:15" ht="12.75">
      <c r="A361" s="11"/>
      <c r="B361" s="11"/>
      <c r="C361" s="11" t="s">
        <v>400</v>
      </c>
      <c r="D361" s="11" t="s">
        <v>359</v>
      </c>
      <c r="E361" s="11" t="s">
        <v>60</v>
      </c>
      <c r="F361" s="11" t="s">
        <v>78</v>
      </c>
      <c r="G361" s="11"/>
      <c r="H361" s="11">
        <v>340</v>
      </c>
      <c r="I361" s="11" t="s">
        <v>360</v>
      </c>
      <c r="J361" s="23">
        <f>148.2/65.2</f>
        <v>2.2730061349693247</v>
      </c>
      <c r="K361" s="78">
        <f>H361*J361</f>
        <v>772.8220858895704</v>
      </c>
      <c r="L361" s="28"/>
      <c r="M361" s="28"/>
      <c r="N361" s="28"/>
      <c r="O361" s="28"/>
    </row>
    <row r="362" spans="1:15" ht="12.75">
      <c r="A362" s="11"/>
      <c r="B362" s="11"/>
      <c r="C362" s="11"/>
      <c r="D362" s="11" t="s">
        <v>342</v>
      </c>
      <c r="E362" s="11" t="s">
        <v>401</v>
      </c>
      <c r="F362" s="11" t="s">
        <v>78</v>
      </c>
      <c r="G362" s="11"/>
      <c r="H362" s="11">
        <v>15</v>
      </c>
      <c r="I362" s="11">
        <v>1985</v>
      </c>
      <c r="J362" s="23">
        <f>148.2/107.6</f>
        <v>1.3773234200743494</v>
      </c>
      <c r="K362" s="78">
        <f>H362*J362</f>
        <v>20.65985130111524</v>
      </c>
      <c r="L362" s="28"/>
      <c r="M362" s="28"/>
      <c r="N362" s="28"/>
      <c r="O362" s="28"/>
    </row>
    <row r="363" spans="1:15" ht="12.75">
      <c r="A363" s="11"/>
      <c r="B363" s="11"/>
      <c r="C363" s="11"/>
      <c r="D363" s="11" t="s">
        <v>62</v>
      </c>
      <c r="E363" s="11" t="s">
        <v>72</v>
      </c>
      <c r="F363" s="11" t="s">
        <v>402</v>
      </c>
      <c r="G363" s="11"/>
      <c r="H363" s="11" t="s">
        <v>403</v>
      </c>
      <c r="I363" s="11">
        <v>1993</v>
      </c>
      <c r="J363" s="23">
        <f>148.2/144.5</f>
        <v>1.0256055363321799</v>
      </c>
      <c r="K363" s="78">
        <f>860*J363</f>
        <v>882.0207612456747</v>
      </c>
      <c r="L363" s="28"/>
      <c r="M363" s="28"/>
      <c r="N363" s="28"/>
      <c r="O363" s="28"/>
    </row>
    <row r="364" spans="1:15" ht="12.75">
      <c r="A364" s="11"/>
      <c r="B364" s="11"/>
      <c r="C364" s="11" t="s">
        <v>404</v>
      </c>
      <c r="D364" s="11" t="s">
        <v>372</v>
      </c>
      <c r="E364" s="11" t="s">
        <v>59</v>
      </c>
      <c r="F364" s="11" t="s">
        <v>78</v>
      </c>
      <c r="G364" s="11"/>
      <c r="H364" s="11">
        <v>210</v>
      </c>
      <c r="I364" s="11">
        <v>1968</v>
      </c>
      <c r="J364" s="23">
        <f>148.2/34.8</f>
        <v>4.258620689655173</v>
      </c>
      <c r="K364" s="78">
        <f>H364*J364</f>
        <v>894.3103448275863</v>
      </c>
      <c r="L364" s="28"/>
      <c r="M364" s="28"/>
      <c r="N364" s="28"/>
      <c r="O364" s="28"/>
    </row>
    <row r="365" spans="1:15" ht="12.75">
      <c r="A365" s="11"/>
      <c r="B365" s="11"/>
      <c r="C365" s="11" t="s">
        <v>60</v>
      </c>
      <c r="D365" s="11" t="s">
        <v>359</v>
      </c>
      <c r="E365" s="11" t="s">
        <v>60</v>
      </c>
      <c r="F365" s="11" t="s">
        <v>78</v>
      </c>
      <c r="G365" s="11"/>
      <c r="H365" s="11">
        <v>785</v>
      </c>
      <c r="I365" s="11" t="s">
        <v>360</v>
      </c>
      <c r="J365" s="23">
        <f>148.2/65.2</f>
        <v>2.2730061349693247</v>
      </c>
      <c r="K365" s="78">
        <f>H365*J365</f>
        <v>1784.30981595092</v>
      </c>
      <c r="L365" s="28"/>
      <c r="M365" s="28"/>
      <c r="N365" s="28"/>
      <c r="O365" s="28"/>
    </row>
    <row r="366" spans="1:15" ht="12.75">
      <c r="A366" s="11"/>
      <c r="B366" s="11"/>
      <c r="C366" s="11"/>
      <c r="D366" s="11" t="s">
        <v>405</v>
      </c>
      <c r="E366" s="11" t="s">
        <v>406</v>
      </c>
      <c r="F366" s="11" t="s">
        <v>78</v>
      </c>
      <c r="G366" s="11"/>
      <c r="H366" s="11" t="s">
        <v>407</v>
      </c>
      <c r="I366" s="11">
        <v>1970</v>
      </c>
      <c r="J366" s="23">
        <f>148.2/38.8</f>
        <v>3.8195876288659796</v>
      </c>
      <c r="K366" s="78">
        <f>117.5*J366</f>
        <v>448.8015463917526</v>
      </c>
      <c r="L366" s="28"/>
      <c r="M366" s="28"/>
      <c r="N366" s="28"/>
      <c r="O366" s="28"/>
    </row>
    <row r="367" spans="1:15" ht="12.75">
      <c r="A367" s="11"/>
      <c r="B367" s="11"/>
      <c r="C367" s="11"/>
      <c r="D367" s="11" t="s">
        <v>408</v>
      </c>
      <c r="E367" s="11" t="s">
        <v>409</v>
      </c>
      <c r="F367" s="11" t="s">
        <v>174</v>
      </c>
      <c r="G367" s="11"/>
      <c r="H367" s="11" t="s">
        <v>410</v>
      </c>
      <c r="I367" s="11">
        <v>1993</v>
      </c>
      <c r="J367" s="23">
        <f>148.2/144.5</f>
        <v>1.0256055363321799</v>
      </c>
      <c r="K367" s="78">
        <f>141*J367</f>
        <v>144.61038062283737</v>
      </c>
      <c r="L367" s="28"/>
      <c r="M367" s="28"/>
      <c r="N367" s="28"/>
      <c r="O367" s="28"/>
    </row>
    <row r="368" spans="1:15" ht="12.75">
      <c r="A368" s="11"/>
      <c r="B368" s="11"/>
      <c r="C368" s="11"/>
      <c r="D368" s="11" t="s">
        <v>369</v>
      </c>
      <c r="E368" s="11" t="s">
        <v>411</v>
      </c>
      <c r="F368" s="11" t="s">
        <v>78</v>
      </c>
      <c r="G368" s="11"/>
      <c r="H368" s="11" t="s">
        <v>412</v>
      </c>
      <c r="I368" s="11" t="s">
        <v>370</v>
      </c>
      <c r="J368" s="23">
        <f>148.2/103.9</f>
        <v>1.4263715110683348</v>
      </c>
      <c r="K368" s="78">
        <f>1056.5*J368</f>
        <v>1506.9615014436956</v>
      </c>
      <c r="L368" s="28"/>
      <c r="M368" s="28">
        <f>MIN(K360:K368)</f>
        <v>20.65985130111524</v>
      </c>
      <c r="N368" s="28">
        <f>MAX(K360:K368)</f>
        <v>1784.30981595092</v>
      </c>
      <c r="O368" s="28">
        <f>AVERAGE(K360:K368)</f>
        <v>819.7040864967443</v>
      </c>
    </row>
    <row r="369" spans="2:3" ht="12.75">
      <c r="B369" s="3" t="s">
        <v>351</v>
      </c>
      <c r="C369" s="3"/>
    </row>
    <row r="370" spans="1:14" ht="12.75">
      <c r="A370" s="11"/>
      <c r="B370" s="11"/>
      <c r="C370" s="11" t="s">
        <v>413</v>
      </c>
      <c r="D370" s="11" t="s">
        <v>381</v>
      </c>
      <c r="E370" s="11" t="s">
        <v>60</v>
      </c>
      <c r="F370" s="11" t="s">
        <v>382</v>
      </c>
      <c r="G370" s="11"/>
      <c r="H370" s="11">
        <v>200</v>
      </c>
      <c r="I370" s="11" t="s">
        <v>383</v>
      </c>
      <c r="J370" s="23">
        <f>148.2/103.9</f>
        <v>1.4263715110683348</v>
      </c>
      <c r="K370" s="78">
        <f>H370*J370</f>
        <v>285.27430221366694</v>
      </c>
      <c r="L370" s="28"/>
      <c r="M370" s="28"/>
      <c r="N370" s="28"/>
    </row>
    <row r="371" spans="1:15" ht="12.75">
      <c r="A371" s="11"/>
      <c r="B371" s="11"/>
      <c r="C371" s="11"/>
      <c r="D371" s="1" t="s">
        <v>414</v>
      </c>
      <c r="E371"/>
      <c r="F371" s="11"/>
      <c r="G371" s="11"/>
      <c r="H371" s="11">
        <v>285</v>
      </c>
      <c r="I371" s="11">
        <v>1993</v>
      </c>
      <c r="J371" s="23">
        <f>148.2/144.5</f>
        <v>1.0256055363321799</v>
      </c>
      <c r="K371" s="78">
        <f>H371*J371</f>
        <v>292.29757785467126</v>
      </c>
      <c r="L371" s="28"/>
      <c r="M371" s="28"/>
      <c r="N371" s="28"/>
      <c r="O371" s="28"/>
    </row>
    <row r="372" spans="1:15" ht="12.75">
      <c r="A372" s="11"/>
      <c r="B372" s="11"/>
      <c r="C372" s="11"/>
      <c r="D372" s="11" t="s">
        <v>381</v>
      </c>
      <c r="E372" s="11"/>
      <c r="F372" s="11" t="s">
        <v>415</v>
      </c>
      <c r="G372" s="11"/>
      <c r="H372" s="11">
        <v>887</v>
      </c>
      <c r="I372" s="11">
        <v>1993</v>
      </c>
      <c r="J372" s="23">
        <f>148.2/144.5</f>
        <v>1.0256055363321799</v>
      </c>
      <c r="K372" s="78">
        <f>H372*J372</f>
        <v>909.7121107266436</v>
      </c>
      <c r="L372" s="28"/>
      <c r="M372" s="26">
        <f>MIN(K370:K372)</f>
        <v>285.27430221366694</v>
      </c>
      <c r="N372" s="26">
        <f>MAX(K370:K372)</f>
        <v>909.7121107266436</v>
      </c>
      <c r="O372" s="26">
        <f>AVERAGE(K370:K372)</f>
        <v>495.761330264994</v>
      </c>
    </row>
    <row r="373" spans="1:15" ht="12.75">
      <c r="A373" s="11"/>
      <c r="B373" s="11"/>
      <c r="C373" s="11"/>
      <c r="D373" s="11"/>
      <c r="E373" s="11"/>
      <c r="F373" s="11"/>
      <c r="G373" s="11"/>
      <c r="H373" s="11"/>
      <c r="I373" s="11"/>
      <c r="J373" s="23"/>
      <c r="K373" s="78"/>
      <c r="L373" s="44" t="s">
        <v>25</v>
      </c>
      <c r="M373" s="28">
        <f>(M368+M372)/2</f>
        <v>152.96707675739108</v>
      </c>
      <c r="N373" s="28">
        <f>(N368+N372)/2</f>
        <v>1347.0109633387817</v>
      </c>
      <c r="O373" s="28">
        <f>(O368+O372)/2</f>
        <v>657.7327083808691</v>
      </c>
    </row>
    <row r="374" spans="1:15" ht="12.75">
      <c r="A374" s="11"/>
      <c r="B374" s="11"/>
      <c r="C374" s="11"/>
      <c r="D374" s="11"/>
      <c r="E374" s="11"/>
      <c r="F374" s="11"/>
      <c r="G374" s="11"/>
      <c r="H374" s="11"/>
      <c r="I374" s="11"/>
      <c r="J374" s="23"/>
      <c r="K374" s="78"/>
      <c r="L374" s="28"/>
      <c r="M374" s="28"/>
      <c r="N374" s="28"/>
      <c r="O374" s="28"/>
    </row>
    <row r="375" spans="1:15" ht="12.75">
      <c r="A375" s="11"/>
      <c r="B375" s="11"/>
      <c r="C375" s="11"/>
      <c r="D375" s="11"/>
      <c r="E375" s="11"/>
      <c r="F375" s="11"/>
      <c r="G375" s="11"/>
      <c r="H375" s="11"/>
      <c r="I375" s="11"/>
      <c r="J375" s="23"/>
      <c r="K375" s="78"/>
      <c r="L375" s="29" t="s">
        <v>47</v>
      </c>
      <c r="M375" s="29">
        <f>M305+M308+M315+M343+M357+M373</f>
        <v>7905.703324709892</v>
      </c>
      <c r="N375" s="29">
        <f>N305+N308+N315+N343+N357+N373</f>
        <v>15468.614874720784</v>
      </c>
      <c r="O375" s="29">
        <f>O305+O308+O315+O343+O357+O373</f>
        <v>9990.098098897515</v>
      </c>
    </row>
    <row r="377" spans="1:2" ht="12.75">
      <c r="A377" s="4">
        <v>0</v>
      </c>
      <c r="B377" s="4" t="s">
        <v>74</v>
      </c>
    </row>
    <row r="378" spans="2:3" ht="12.75">
      <c r="B378" s="3" t="s">
        <v>340</v>
      </c>
      <c r="C378" s="3"/>
    </row>
    <row r="379" spans="1:15" ht="12.75">
      <c r="A379" s="11"/>
      <c r="B379" s="11"/>
      <c r="C379" s="11" t="s">
        <v>75</v>
      </c>
      <c r="D379" s="11" t="s">
        <v>372</v>
      </c>
      <c r="E379" s="11" t="s">
        <v>77</v>
      </c>
      <c r="F379" s="11" t="s">
        <v>78</v>
      </c>
      <c r="G379" s="11"/>
      <c r="H379" s="11">
        <v>10127</v>
      </c>
      <c r="I379" s="11">
        <v>1968</v>
      </c>
      <c r="J379" s="23">
        <f>104.6/24.2</f>
        <v>4.322314049586777</v>
      </c>
      <c r="K379" s="78">
        <f>H379*J379</f>
        <v>43772.074380165286</v>
      </c>
      <c r="L379" s="28"/>
      <c r="M379" s="28"/>
      <c r="N379" s="28"/>
      <c r="O379" s="28"/>
    </row>
    <row r="380" spans="1:15" ht="12.75">
      <c r="A380" s="11"/>
      <c r="B380" s="11"/>
      <c r="C380" s="11"/>
      <c r="D380" s="11" t="s">
        <v>342</v>
      </c>
      <c r="E380" s="11" t="s">
        <v>77</v>
      </c>
      <c r="F380" s="11" t="s">
        <v>78</v>
      </c>
      <c r="G380" s="11"/>
      <c r="H380" s="11">
        <v>1675</v>
      </c>
      <c r="I380" s="11">
        <v>1983</v>
      </c>
      <c r="J380" s="23">
        <f>104.6/99.9</f>
        <v>1.047047047047047</v>
      </c>
      <c r="K380" s="78">
        <f>H380*J380</f>
        <v>1753.8038038038037</v>
      </c>
      <c r="L380" s="28"/>
      <c r="M380" s="28"/>
      <c r="N380" s="28"/>
      <c r="O380" s="28"/>
    </row>
    <row r="381" spans="1:15" ht="12.75">
      <c r="A381" s="11"/>
      <c r="B381" s="11"/>
      <c r="C381" s="11"/>
      <c r="D381" s="11" t="s">
        <v>416</v>
      </c>
      <c r="E381" s="11" t="s">
        <v>77</v>
      </c>
      <c r="F381" s="11" t="s">
        <v>78</v>
      </c>
      <c r="G381" s="11"/>
      <c r="H381" s="11">
        <v>10250</v>
      </c>
      <c r="I381" s="11" t="s">
        <v>417</v>
      </c>
      <c r="J381" s="23">
        <f>104.6/29.4</f>
        <v>3.557823129251701</v>
      </c>
      <c r="K381" s="78">
        <f>H381*J381</f>
        <v>36467.68707482993</v>
      </c>
      <c r="L381" s="28"/>
      <c r="M381" s="28"/>
      <c r="N381" s="28"/>
      <c r="O381" s="28"/>
    </row>
    <row r="382" spans="1:15" ht="12.75">
      <c r="A382" s="11"/>
      <c r="B382" s="11"/>
      <c r="C382" s="11"/>
      <c r="D382" s="11" t="s">
        <v>418</v>
      </c>
      <c r="E382" s="11" t="s">
        <v>77</v>
      </c>
      <c r="F382" s="11" t="s">
        <v>78</v>
      </c>
      <c r="G382" s="11"/>
      <c r="H382" s="11" t="s">
        <v>419</v>
      </c>
      <c r="I382" s="11">
        <v>1979</v>
      </c>
      <c r="J382" s="23">
        <f>104.6/65.7</f>
        <v>1.5920852359208522</v>
      </c>
      <c r="K382" s="78">
        <f>942*J382</f>
        <v>1499.7442922374428</v>
      </c>
      <c r="L382" s="28"/>
      <c r="M382" s="28"/>
      <c r="N382" s="28"/>
      <c r="O382" s="28"/>
    </row>
    <row r="383" spans="1:15" ht="12.75">
      <c r="A383" s="11"/>
      <c r="B383" s="11"/>
      <c r="C383" s="11" t="s">
        <v>420</v>
      </c>
      <c r="D383" s="11" t="s">
        <v>359</v>
      </c>
      <c r="E383" s="11" t="s">
        <v>60</v>
      </c>
      <c r="F383" s="11" t="s">
        <v>78</v>
      </c>
      <c r="G383" s="11"/>
      <c r="H383" s="11">
        <v>7415</v>
      </c>
      <c r="I383" s="11" t="s">
        <v>360</v>
      </c>
      <c r="J383" s="23">
        <f>148.2/65.2</f>
        <v>2.2730061349693247</v>
      </c>
      <c r="K383" s="78">
        <f>H383*J383</f>
        <v>16854.340490797542</v>
      </c>
      <c r="L383" s="28"/>
      <c r="M383" s="28">
        <f>MIN(K379:K383)</f>
        <v>1499.7442922374428</v>
      </c>
      <c r="N383" s="28">
        <f>MAX(K379:K383)</f>
        <v>43772.074380165286</v>
      </c>
      <c r="O383" s="28">
        <f>AVERAGE(K379:K383)</f>
        <v>20069.530008366804</v>
      </c>
    </row>
    <row r="384" spans="2:3" ht="12.75">
      <c r="B384" s="3" t="s">
        <v>351</v>
      </c>
      <c r="C384" s="3"/>
    </row>
    <row r="385" spans="1:14" ht="12.75">
      <c r="A385" s="11"/>
      <c r="B385" s="11"/>
      <c r="C385" s="11" t="s">
        <v>420</v>
      </c>
      <c r="D385" s="11" t="s">
        <v>381</v>
      </c>
      <c r="E385" s="11" t="s">
        <v>60</v>
      </c>
      <c r="F385" s="11" t="s">
        <v>382</v>
      </c>
      <c r="G385" s="11"/>
      <c r="H385" s="11">
        <v>500</v>
      </c>
      <c r="I385" s="11" t="s">
        <v>383</v>
      </c>
      <c r="J385" s="23">
        <f>148.2/103.9</f>
        <v>1.4263715110683348</v>
      </c>
      <c r="K385" s="78">
        <f aca="true" t="shared" si="6" ref="K385:K390">H385*J385</f>
        <v>713.1857555341674</v>
      </c>
      <c r="L385" s="28"/>
      <c r="M385" s="28"/>
      <c r="N385" s="28"/>
    </row>
    <row r="386" spans="1:15" ht="12.75">
      <c r="A386" s="11"/>
      <c r="B386" s="11"/>
      <c r="C386" s="11"/>
      <c r="D386" s="11"/>
      <c r="E386" s="11"/>
      <c r="F386" s="11"/>
      <c r="G386" s="11"/>
      <c r="H386" s="11">
        <v>712</v>
      </c>
      <c r="I386" s="11">
        <v>1993</v>
      </c>
      <c r="J386" s="23">
        <f>148.2/144.5</f>
        <v>1.0256055363321799</v>
      </c>
      <c r="K386" s="78">
        <f t="shared" si="6"/>
        <v>730.231141868512</v>
      </c>
      <c r="L386" s="28"/>
      <c r="M386" s="28"/>
      <c r="N386" s="28"/>
      <c r="O386" s="28"/>
    </row>
    <row r="387" spans="1:15" ht="12.75">
      <c r="A387" s="11"/>
      <c r="B387" s="11"/>
      <c r="C387" s="11"/>
      <c r="D387" s="11" t="s">
        <v>381</v>
      </c>
      <c r="E387" s="11" t="s">
        <v>60</v>
      </c>
      <c r="F387" s="11" t="s">
        <v>415</v>
      </c>
      <c r="G387" s="11"/>
      <c r="H387" s="11">
        <v>1550</v>
      </c>
      <c r="I387" s="11" t="s">
        <v>383</v>
      </c>
      <c r="J387" s="23">
        <f>148.2/103.9</f>
        <v>1.4263715110683348</v>
      </c>
      <c r="K387" s="78">
        <f t="shared" si="6"/>
        <v>2210.875842155919</v>
      </c>
      <c r="L387" s="28"/>
      <c r="M387" s="28"/>
      <c r="N387" s="28"/>
      <c r="O387" s="28"/>
    </row>
    <row r="388" spans="1:15" ht="12.75">
      <c r="A388" s="11"/>
      <c r="B388" s="11"/>
      <c r="C388" s="11"/>
      <c r="D388" s="11"/>
      <c r="E388" s="11"/>
      <c r="F388" s="11"/>
      <c r="G388" s="11"/>
      <c r="H388" s="11">
        <v>2217</v>
      </c>
      <c r="I388" s="11">
        <v>1993</v>
      </c>
      <c r="J388" s="23">
        <f>148.2/144.5</f>
        <v>1.0256055363321799</v>
      </c>
      <c r="K388" s="78">
        <f t="shared" si="6"/>
        <v>2273.7674740484426</v>
      </c>
      <c r="L388" s="28"/>
      <c r="M388" s="28"/>
      <c r="N388" s="28"/>
      <c r="O388" s="28"/>
    </row>
    <row r="389" spans="1:15" ht="12.75">
      <c r="A389" s="11"/>
      <c r="B389" s="11"/>
      <c r="C389" s="11"/>
      <c r="D389" s="11" t="s">
        <v>381</v>
      </c>
      <c r="E389" s="11" t="s">
        <v>60</v>
      </c>
      <c r="F389" s="11" t="s">
        <v>384</v>
      </c>
      <c r="G389" s="11"/>
      <c r="H389" s="11">
        <v>950</v>
      </c>
      <c r="I389" s="11" t="s">
        <v>383</v>
      </c>
      <c r="J389" s="23">
        <f>148.2/103.9</f>
        <v>1.4263715110683348</v>
      </c>
      <c r="K389" s="78">
        <f t="shared" si="6"/>
        <v>1355.052935514918</v>
      </c>
      <c r="L389" s="28"/>
      <c r="M389" s="28"/>
      <c r="N389" s="28"/>
      <c r="O389" s="28"/>
    </row>
    <row r="390" spans="1:15" ht="12.75">
      <c r="A390" s="11"/>
      <c r="B390" s="11"/>
      <c r="C390" s="11" t="s">
        <v>75</v>
      </c>
      <c r="D390" s="11" t="s">
        <v>416</v>
      </c>
      <c r="E390" s="11" t="s">
        <v>77</v>
      </c>
      <c r="F390" s="11" t="s">
        <v>78</v>
      </c>
      <c r="G390" s="11"/>
      <c r="H390" s="11">
        <v>2260</v>
      </c>
      <c r="I390" s="11">
        <v>1977</v>
      </c>
      <c r="J390" s="23">
        <f>101.6/49.4</f>
        <v>2.0566801619433197</v>
      </c>
      <c r="K390" s="78">
        <f t="shared" si="6"/>
        <v>4648.097165991902</v>
      </c>
      <c r="L390" s="28"/>
      <c r="M390" s="26">
        <f>MIN(K385:K390)</f>
        <v>713.1857555341674</v>
      </c>
      <c r="N390" s="26">
        <f>MAX(K385:K390)</f>
        <v>4648.097165991902</v>
      </c>
      <c r="O390" s="26">
        <f>AVERAGE(K385:K390)</f>
        <v>1988.535052518977</v>
      </c>
    </row>
    <row r="391" spans="12:15" ht="12.75">
      <c r="L391" s="44" t="s">
        <v>25</v>
      </c>
      <c r="M391" s="27">
        <f>(M383+M390)/2</f>
        <v>1106.465023885805</v>
      </c>
      <c r="N391" s="27">
        <f>(N383+N390)/2</f>
        <v>24210.085773078594</v>
      </c>
      <c r="O391" s="27">
        <f>(O383+O390)/2</f>
        <v>11029.032530442892</v>
      </c>
    </row>
    <row r="393" spans="1:45" s="3" customFormat="1" ht="19.5">
      <c r="A393" s="10" t="s">
        <v>421</v>
      </c>
      <c r="B393" s="9"/>
      <c r="J393" s="20"/>
      <c r="K393" s="77"/>
      <c r="L393" s="26"/>
      <c r="M393" s="26"/>
      <c r="N393" s="26"/>
      <c r="O393" s="26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</row>
    <row r="395" spans="1:45" s="11" customFormat="1" ht="12.75">
      <c r="A395" s="17">
        <v>1</v>
      </c>
      <c r="B395" s="17" t="s">
        <v>27</v>
      </c>
      <c r="C395" s="1"/>
      <c r="J395" s="23"/>
      <c r="K395" s="78"/>
      <c r="L395" s="28"/>
      <c r="M395" s="28"/>
      <c r="N395" s="28"/>
      <c r="O395" s="28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</row>
    <row r="396" spans="2:3" ht="12.75">
      <c r="B396" s="3" t="s">
        <v>422</v>
      </c>
      <c r="C396" s="3"/>
    </row>
    <row r="397" spans="3:45" s="11" customFormat="1" ht="12.75">
      <c r="C397" s="11" t="s">
        <v>423</v>
      </c>
      <c r="D397" s="11" t="s">
        <v>262</v>
      </c>
      <c r="E397" s="11" t="s">
        <v>424</v>
      </c>
      <c r="F397" s="11" t="s">
        <v>166</v>
      </c>
      <c r="H397" s="11" t="s">
        <v>425</v>
      </c>
      <c r="I397" s="11">
        <v>1990</v>
      </c>
      <c r="J397" s="23">
        <f>148.2/130.7</f>
        <v>1.13389441469013</v>
      </c>
      <c r="K397" s="78">
        <f>585*J397*0.4</f>
        <v>265.3312930374904</v>
      </c>
      <c r="L397" s="27"/>
      <c r="M397" s="27">
        <f>K397</f>
        <v>265.3312930374904</v>
      </c>
      <c r="N397" s="27">
        <f>K397</f>
        <v>265.3312930374904</v>
      </c>
      <c r="O397" s="28">
        <f>K397</f>
        <v>265.3312930374904</v>
      </c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</row>
    <row r="399" spans="1:2" ht="12.75">
      <c r="A399" s="4">
        <v>3</v>
      </c>
      <c r="B399" s="4" t="s">
        <v>49</v>
      </c>
    </row>
    <row r="400" spans="2:3" ht="12.75">
      <c r="B400" s="3" t="s">
        <v>422</v>
      </c>
      <c r="C400" s="3"/>
    </row>
    <row r="401" spans="3:15" ht="12.75">
      <c r="C401" s="1" t="s">
        <v>426</v>
      </c>
      <c r="D401" s="1" t="s">
        <v>427</v>
      </c>
      <c r="K401" s="67">
        <f>0.3*K403</f>
        <v>3341.3190184049076</v>
      </c>
      <c r="M401" s="27">
        <f>K401</f>
        <v>3341.3190184049076</v>
      </c>
      <c r="N401" s="27">
        <f>K401</f>
        <v>3341.3190184049076</v>
      </c>
      <c r="O401" s="27">
        <f>K401</f>
        <v>3341.3190184049076</v>
      </c>
    </row>
    <row r="402" spans="2:3" ht="12.75">
      <c r="B402" s="3" t="s">
        <v>428</v>
      </c>
      <c r="C402" s="3"/>
    </row>
    <row r="403" spans="3:45" s="11" customFormat="1" ht="12.75">
      <c r="C403" s="11" t="s">
        <v>426</v>
      </c>
      <c r="D403" s="11" t="s">
        <v>50</v>
      </c>
      <c r="E403" s="11" t="s">
        <v>429</v>
      </c>
      <c r="F403" s="11" t="s">
        <v>78</v>
      </c>
      <c r="H403" s="11">
        <v>4900</v>
      </c>
      <c r="I403" s="11">
        <v>1978</v>
      </c>
      <c r="J403" s="23">
        <f>148.2/65.2</f>
        <v>2.2730061349693247</v>
      </c>
      <c r="K403" s="78">
        <f>H403*J403</f>
        <v>11137.730061349692</v>
      </c>
      <c r="L403" s="27"/>
      <c r="M403" s="26">
        <f>K403</f>
        <v>11137.730061349692</v>
      </c>
      <c r="N403" s="26">
        <f>K403</f>
        <v>11137.730061349692</v>
      </c>
      <c r="O403" s="26">
        <f>11138</f>
        <v>11138</v>
      </c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</row>
    <row r="404" spans="12:15" ht="12.75">
      <c r="L404" s="27" t="s">
        <v>25</v>
      </c>
      <c r="M404" s="27">
        <f>(M401+M403)/2</f>
        <v>7239.5245398772995</v>
      </c>
      <c r="N404" s="27">
        <f>(N401+N403)/2</f>
        <v>7239.5245398772995</v>
      </c>
      <c r="O404" s="27">
        <f>(O401+O403)/2</f>
        <v>7239.659509202454</v>
      </c>
    </row>
    <row r="405" spans="1:2" ht="12.75">
      <c r="A405" s="4">
        <v>4</v>
      </c>
      <c r="B405" s="4" t="s">
        <v>430</v>
      </c>
    </row>
    <row r="406" spans="2:3" ht="12.75">
      <c r="B406" s="3" t="s">
        <v>422</v>
      </c>
      <c r="C406" s="3"/>
    </row>
    <row r="407" spans="1:15" ht="12.75">
      <c r="A407" s="11"/>
      <c r="B407" s="11"/>
      <c r="C407" s="11" t="s">
        <v>431</v>
      </c>
      <c r="D407" s="11" t="s">
        <v>262</v>
      </c>
      <c r="E407" s="11" t="s">
        <v>432</v>
      </c>
      <c r="F407" s="11" t="s">
        <v>166</v>
      </c>
      <c r="G407" s="11"/>
      <c r="H407" s="11" t="s">
        <v>433</v>
      </c>
      <c r="I407" s="11">
        <v>1990</v>
      </c>
      <c r="J407" s="23">
        <f>148.2/130.7</f>
        <v>1.13389441469013</v>
      </c>
      <c r="K407" s="78">
        <f>66*J407*0.4</f>
        <v>29.934812547819433</v>
      </c>
      <c r="M407" s="27">
        <f>K407</f>
        <v>29.934812547819433</v>
      </c>
      <c r="N407" s="27">
        <f>K407</f>
        <v>29.934812547819433</v>
      </c>
      <c r="O407" s="28">
        <f>K407</f>
        <v>29.934812547819433</v>
      </c>
    </row>
    <row r="409" spans="1:2" ht="12.75">
      <c r="A409" s="4">
        <v>5</v>
      </c>
      <c r="B409" s="4" t="s">
        <v>193</v>
      </c>
    </row>
    <row r="410" spans="2:3" ht="12.75">
      <c r="B410" s="3" t="s">
        <v>422</v>
      </c>
      <c r="C410" s="3"/>
    </row>
    <row r="411" spans="1:15" ht="12.75">
      <c r="A411" s="11"/>
      <c r="B411" s="11"/>
      <c r="C411" s="11"/>
      <c r="D411" s="11" t="s">
        <v>262</v>
      </c>
      <c r="E411" s="11" t="s">
        <v>434</v>
      </c>
      <c r="F411" s="11" t="s">
        <v>435</v>
      </c>
      <c r="G411" s="11"/>
      <c r="H411" s="11" t="s">
        <v>436</v>
      </c>
      <c r="I411" s="11">
        <v>1990</v>
      </c>
      <c r="J411" s="23">
        <f>148.2/130.7</f>
        <v>1.13389441469013</v>
      </c>
      <c r="K411" s="78">
        <f>230*J411*0.4</f>
        <v>104.31828615149196</v>
      </c>
      <c r="O411" s="28"/>
    </row>
    <row r="412" spans="1:15" ht="12.75">
      <c r="A412" s="11"/>
      <c r="B412" s="11"/>
      <c r="C412" s="11"/>
      <c r="D412" s="11" t="s">
        <v>405</v>
      </c>
      <c r="E412" s="11" t="s">
        <v>437</v>
      </c>
      <c r="F412" s="11" t="s">
        <v>78</v>
      </c>
      <c r="G412" s="11"/>
      <c r="H412" s="11">
        <v>3952</v>
      </c>
      <c r="I412" s="11">
        <v>1970</v>
      </c>
      <c r="J412" s="23">
        <f>148.2/38.8</f>
        <v>3.8195876288659796</v>
      </c>
      <c r="K412" s="78">
        <f>H412*J412</f>
        <v>15095.010309278352</v>
      </c>
      <c r="M412" s="27">
        <f>MIN(K411:K412)</f>
        <v>104.31828615149196</v>
      </c>
      <c r="N412" s="27">
        <f>MAX(K411:K412)</f>
        <v>15095.010309278352</v>
      </c>
      <c r="O412" s="28">
        <f>AVERAGE(K411:K412)</f>
        <v>7599.664297714922</v>
      </c>
    </row>
    <row r="415" spans="1:2" ht="12.75">
      <c r="A415" s="17">
        <v>9</v>
      </c>
      <c r="B415" s="17" t="s">
        <v>213</v>
      </c>
    </row>
    <row r="416" spans="2:3" ht="12.75">
      <c r="B416" s="3" t="s">
        <v>422</v>
      </c>
      <c r="C416" s="3"/>
    </row>
    <row r="417" spans="1:11" ht="12.75">
      <c r="A417" s="11"/>
      <c r="B417" s="11"/>
      <c r="C417" s="11" t="s">
        <v>438</v>
      </c>
      <c r="D417" s="11" t="s">
        <v>50</v>
      </c>
      <c r="E417" s="11" t="s">
        <v>439</v>
      </c>
      <c r="F417" s="11" t="s">
        <v>78</v>
      </c>
      <c r="G417" s="11"/>
      <c r="H417" s="11">
        <v>2475</v>
      </c>
      <c r="I417" s="11" t="s">
        <v>440</v>
      </c>
      <c r="J417" s="23">
        <f>148.2/65.2</f>
        <v>2.2730061349693247</v>
      </c>
      <c r="K417" s="78">
        <f>H417*J417</f>
        <v>5625.690184049078</v>
      </c>
    </row>
    <row r="418" spans="1:15" ht="12.75">
      <c r="A418" s="11"/>
      <c r="B418" s="11"/>
      <c r="C418" s="11"/>
      <c r="D418" s="11" t="s">
        <v>62</v>
      </c>
      <c r="E418" s="11" t="s">
        <v>439</v>
      </c>
      <c r="F418" s="11" t="s">
        <v>441</v>
      </c>
      <c r="G418" s="11"/>
      <c r="H418" s="11" t="s">
        <v>442</v>
      </c>
      <c r="I418" s="11">
        <v>1993</v>
      </c>
      <c r="J418" s="23">
        <f>148.2/144.5</f>
        <v>1.0256055363321799</v>
      </c>
      <c r="K418" s="78">
        <f>412*J418</f>
        <v>422.5494809688581</v>
      </c>
      <c r="M418" s="27">
        <f>MIN(K417:K418)</f>
        <v>422.5494809688581</v>
      </c>
      <c r="N418" s="27">
        <f>MAX(K417:K418)</f>
        <v>5625.690184049078</v>
      </c>
      <c r="O418" s="28">
        <f>AVERAGE(K417:K418)</f>
        <v>3024.119832508968</v>
      </c>
    </row>
    <row r="419" spans="2:3" ht="12.75">
      <c r="B419" s="3" t="s">
        <v>428</v>
      </c>
      <c r="C419" s="3"/>
    </row>
    <row r="420" spans="1:11" ht="12.75">
      <c r="A420" s="11"/>
      <c r="B420" s="11"/>
      <c r="C420" s="11" t="s">
        <v>438</v>
      </c>
      <c r="D420" s="11" t="s">
        <v>443</v>
      </c>
      <c r="E420" s="11" t="s">
        <v>444</v>
      </c>
      <c r="F420" s="11" t="s">
        <v>78</v>
      </c>
      <c r="G420" s="11"/>
      <c r="H420" s="11">
        <v>316</v>
      </c>
      <c r="I420" s="11">
        <v>1993</v>
      </c>
      <c r="J420" s="23">
        <f>148.2/144.5</f>
        <v>1.0256055363321799</v>
      </c>
      <c r="K420" s="78">
        <f>H420*J420</f>
        <v>324.09134948096886</v>
      </c>
    </row>
    <row r="421" spans="1:15" ht="12.75">
      <c r="A421" s="11"/>
      <c r="B421" s="11"/>
      <c r="C421" s="11" t="s">
        <v>445</v>
      </c>
      <c r="D421" s="11" t="s">
        <v>62</v>
      </c>
      <c r="E421" s="11" t="s">
        <v>353</v>
      </c>
      <c r="F421" s="11" t="s">
        <v>446</v>
      </c>
      <c r="G421" s="11"/>
      <c r="H421" s="11">
        <v>256</v>
      </c>
      <c r="I421" s="11">
        <v>1993</v>
      </c>
      <c r="J421" s="23">
        <f>148.2/144.5</f>
        <v>1.0256055363321799</v>
      </c>
      <c r="K421" s="78">
        <f>H421*J421</f>
        <v>262.55501730103805</v>
      </c>
      <c r="M421" s="26">
        <f>MIN(K420:K421)</f>
        <v>262.55501730103805</v>
      </c>
      <c r="N421" s="26">
        <f>MAX(K420:K421)</f>
        <v>324.09134948096886</v>
      </c>
      <c r="O421" s="26">
        <f>AVERAGE(K420:K421)</f>
        <v>293.32318339100345</v>
      </c>
    </row>
    <row r="422" spans="12:15" ht="12.75">
      <c r="L422" s="44" t="s">
        <v>25</v>
      </c>
      <c r="M422" s="27">
        <f>(M418+M421)/2</f>
        <v>342.55224913494806</v>
      </c>
      <c r="N422" s="27">
        <f>(N418+N421)/2</f>
        <v>2974.8907667650237</v>
      </c>
      <c r="O422" s="27">
        <f>(O418+O421)/2</f>
        <v>1658.7215079499858</v>
      </c>
    </row>
    <row r="423" spans="1:2" ht="12.75">
      <c r="A423" s="17">
        <v>12</v>
      </c>
      <c r="B423" s="17" t="s">
        <v>57</v>
      </c>
    </row>
    <row r="424" spans="1:3" ht="12.75">
      <c r="A424" s="17"/>
      <c r="B424" s="3" t="s">
        <v>422</v>
      </c>
      <c r="C424" s="3"/>
    </row>
    <row r="425" spans="1:11" ht="12.75">
      <c r="A425" s="11"/>
      <c r="B425" s="11"/>
      <c r="C425" s="11" t="s">
        <v>447</v>
      </c>
      <c r="D425" s="11" t="s">
        <v>262</v>
      </c>
      <c r="E425" s="11" t="s">
        <v>448</v>
      </c>
      <c r="F425" s="11" t="s">
        <v>166</v>
      </c>
      <c r="G425" s="11"/>
      <c r="H425" s="11" t="s">
        <v>449</v>
      </c>
      <c r="I425" s="11">
        <v>1990</v>
      </c>
      <c r="J425" s="23">
        <f>148.2/130.7</f>
        <v>1.13389441469013</v>
      </c>
      <c r="K425" s="78">
        <f>45*J425*0.4</f>
        <v>20.41009946442234</v>
      </c>
    </row>
    <row r="426" spans="1:15" ht="12.75">
      <c r="A426" s="11"/>
      <c r="B426" s="11"/>
      <c r="C426" s="11" t="s">
        <v>450</v>
      </c>
      <c r="D426" s="11" t="s">
        <v>451</v>
      </c>
      <c r="E426" s="11" t="s">
        <v>452</v>
      </c>
      <c r="F426" s="11" t="s">
        <v>78</v>
      </c>
      <c r="G426" s="11"/>
      <c r="H426" s="11">
        <v>847</v>
      </c>
      <c r="I426" s="11">
        <v>1980</v>
      </c>
      <c r="J426" s="23">
        <f>148.2/82.4</f>
        <v>1.798543689320388</v>
      </c>
      <c r="K426" s="67">
        <f>H426*J426</f>
        <v>1523.3665048543687</v>
      </c>
      <c r="O426" s="28"/>
    </row>
    <row r="427" spans="1:15" ht="12.75">
      <c r="A427" s="11"/>
      <c r="B427" s="11"/>
      <c r="C427" s="11"/>
      <c r="D427" s="11" t="s">
        <v>451</v>
      </c>
      <c r="E427" s="11" t="s">
        <v>453</v>
      </c>
      <c r="F427" s="11" t="s">
        <v>350</v>
      </c>
      <c r="G427" s="11"/>
      <c r="H427" s="11">
        <v>135</v>
      </c>
      <c r="I427" s="11" t="s">
        <v>454</v>
      </c>
      <c r="J427" s="23">
        <f>148.2/109.6</f>
        <v>1.3521897810218977</v>
      </c>
      <c r="K427" s="78">
        <f>H427*J427</f>
        <v>182.5456204379562</v>
      </c>
      <c r="O427" s="28"/>
    </row>
    <row r="428" spans="1:15" ht="12.75">
      <c r="A428" s="11"/>
      <c r="B428" s="11"/>
      <c r="C428" s="11"/>
      <c r="D428" s="11" t="s">
        <v>62</v>
      </c>
      <c r="E428" s="11" t="s">
        <v>72</v>
      </c>
      <c r="F428" s="11" t="s">
        <v>288</v>
      </c>
      <c r="G428" s="11"/>
      <c r="H428" s="11" t="s">
        <v>455</v>
      </c>
      <c r="I428" s="11">
        <v>1993</v>
      </c>
      <c r="J428" s="23">
        <f>148.2/144.5</f>
        <v>1.0256055363321799</v>
      </c>
      <c r="K428" s="78">
        <f>27.5*J428</f>
        <v>28.204152249134946</v>
      </c>
      <c r="M428" s="27">
        <f>MIN(K425:K428)</f>
        <v>20.41009946442234</v>
      </c>
      <c r="N428" s="27">
        <f>MAX(K425:K428)</f>
        <v>1523.3665048543687</v>
      </c>
      <c r="O428" s="28">
        <f>AVERAGE(K425:K428)</f>
        <v>438.6315942514705</v>
      </c>
    </row>
    <row r="429" spans="2:3" ht="12.75">
      <c r="B429" s="11"/>
      <c r="C429" s="11"/>
    </row>
    <row r="430" spans="1:2" ht="12.75">
      <c r="A430" s="4">
        <v>13</v>
      </c>
      <c r="B430" s="4" t="s">
        <v>39</v>
      </c>
    </row>
    <row r="431" spans="2:3" ht="12.75">
      <c r="B431" s="3" t="s">
        <v>422</v>
      </c>
      <c r="C431" s="3"/>
    </row>
    <row r="432" spans="1:15" ht="12.75">
      <c r="A432" s="11"/>
      <c r="B432" s="11"/>
      <c r="C432" s="11" t="s">
        <v>66</v>
      </c>
      <c r="D432" s="11" t="s">
        <v>262</v>
      </c>
      <c r="E432" s="11" t="s">
        <v>456</v>
      </c>
      <c r="F432" s="11" t="s">
        <v>166</v>
      </c>
      <c r="G432" s="11"/>
      <c r="H432" s="11">
        <v>98</v>
      </c>
      <c r="I432" s="11">
        <v>1990</v>
      </c>
      <c r="J432" s="23">
        <f>144.3/132.4</f>
        <v>1.08987915407855</v>
      </c>
      <c r="K432" s="78">
        <f>H432*J432*0.4</f>
        <v>42.72326283987916</v>
      </c>
      <c r="M432" s="27">
        <f>K432</f>
        <v>42.72326283987916</v>
      </c>
      <c r="N432" s="27">
        <f>K432</f>
        <v>42.72326283987916</v>
      </c>
      <c r="O432" s="28">
        <f>K432</f>
        <v>42.72326283987916</v>
      </c>
    </row>
    <row r="433" spans="2:3" ht="12.75">
      <c r="B433" s="3" t="s">
        <v>428</v>
      </c>
      <c r="C433" s="3"/>
    </row>
    <row r="434" spans="1:11" ht="12.75">
      <c r="A434" s="11"/>
      <c r="B434" s="11"/>
      <c r="C434" s="11" t="s">
        <v>457</v>
      </c>
      <c r="D434" s="11" t="s">
        <v>62</v>
      </c>
      <c r="E434" s="11" t="s">
        <v>458</v>
      </c>
      <c r="F434" s="11" t="s">
        <v>446</v>
      </c>
      <c r="G434" s="11"/>
      <c r="H434" s="11">
        <v>88</v>
      </c>
      <c r="I434" s="11">
        <v>1993</v>
      </c>
      <c r="J434" s="23">
        <f>144.3/140.9</f>
        <v>1.0241305890702626</v>
      </c>
      <c r="K434" s="78">
        <f>H434*J434</f>
        <v>90.1234918381831</v>
      </c>
    </row>
    <row r="435" spans="1:15" ht="12.75">
      <c r="A435" s="11"/>
      <c r="B435" s="11"/>
      <c r="C435" s="11" t="s">
        <v>459</v>
      </c>
      <c r="D435" s="11" t="s">
        <v>460</v>
      </c>
      <c r="E435" s="11" t="s">
        <v>461</v>
      </c>
      <c r="F435" s="11" t="s">
        <v>337</v>
      </c>
      <c r="G435" s="11"/>
      <c r="H435" s="30" t="s">
        <v>462</v>
      </c>
      <c r="I435" s="11">
        <v>1993</v>
      </c>
      <c r="J435" s="23">
        <f>144.3/140.9</f>
        <v>1.0241305890702626</v>
      </c>
      <c r="K435" s="78">
        <f>11.5*J435</f>
        <v>11.77750177430802</v>
      </c>
      <c r="M435" s="26">
        <f>MIN(K434:K435)</f>
        <v>11.77750177430802</v>
      </c>
      <c r="N435" s="26">
        <f>MAX(K434:K435)</f>
        <v>90.1234918381831</v>
      </c>
      <c r="O435" s="26">
        <f>AVERAGE(K434:K435)</f>
        <v>50.95049680624556</v>
      </c>
    </row>
    <row r="436" spans="12:15" ht="12.75">
      <c r="L436" s="44" t="s">
        <v>25</v>
      </c>
      <c r="M436" s="27">
        <f>(M432+M435)/2</f>
        <v>27.25038230709359</v>
      </c>
      <c r="N436" s="27">
        <f>(N432+N435)/2</f>
        <v>66.42337733903113</v>
      </c>
      <c r="O436" s="27">
        <f>(O432+O435)/2</f>
        <v>46.83687982306236</v>
      </c>
    </row>
    <row r="437" spans="1:2" ht="12.75">
      <c r="A437" s="4">
        <v>14</v>
      </c>
      <c r="B437" s="4" t="s">
        <v>42</v>
      </c>
    </row>
    <row r="438" spans="2:3" ht="12.75">
      <c r="B438" s="3" t="s">
        <v>422</v>
      </c>
      <c r="C438" s="3"/>
    </row>
    <row r="439" spans="1:15" ht="12.75">
      <c r="A439" s="11"/>
      <c r="B439" s="11"/>
      <c r="C439" s="11" t="s">
        <v>463</v>
      </c>
      <c r="D439" s="11" t="s">
        <v>262</v>
      </c>
      <c r="E439" s="11" t="s">
        <v>59</v>
      </c>
      <c r="F439" s="11" t="s">
        <v>166</v>
      </c>
      <c r="G439" s="11"/>
      <c r="H439" s="11">
        <v>30</v>
      </c>
      <c r="I439" s="11">
        <v>1990</v>
      </c>
      <c r="J439" s="23">
        <f>133.8/122.8</f>
        <v>1.0895765472312704</v>
      </c>
      <c r="K439" s="78">
        <f>H439*J439*0.4</f>
        <v>13.074918566775246</v>
      </c>
      <c r="M439" s="27">
        <f>K439</f>
        <v>13.074918566775246</v>
      </c>
      <c r="N439" s="27">
        <f>K439</f>
        <v>13.074918566775246</v>
      </c>
      <c r="O439" s="28">
        <f>K439</f>
        <v>13.074918566775246</v>
      </c>
    </row>
    <row r="440" spans="2:3" ht="12.75">
      <c r="B440" s="3" t="s">
        <v>428</v>
      </c>
      <c r="C440" s="3"/>
    </row>
    <row r="441" spans="1:11" ht="12.75">
      <c r="A441" s="11"/>
      <c r="B441" s="11"/>
      <c r="C441" s="11" t="s">
        <v>464</v>
      </c>
      <c r="D441" s="11" t="s">
        <v>62</v>
      </c>
      <c r="E441" s="11" t="s">
        <v>465</v>
      </c>
      <c r="F441" s="11" t="s">
        <v>466</v>
      </c>
      <c r="G441" s="11"/>
      <c r="H441" s="11">
        <v>200</v>
      </c>
      <c r="I441" s="11">
        <v>1993</v>
      </c>
      <c r="J441" s="23">
        <f>144.3/140.9</f>
        <v>1.0241305890702626</v>
      </c>
      <c r="K441" s="78">
        <f>H441*J441</f>
        <v>204.8261178140525</v>
      </c>
    </row>
    <row r="442" spans="1:15" ht="12.75">
      <c r="A442" s="11"/>
      <c r="B442" s="11"/>
      <c r="C442" s="11" t="s">
        <v>467</v>
      </c>
      <c r="D442" s="11" t="s">
        <v>460</v>
      </c>
      <c r="E442" s="11" t="s">
        <v>468</v>
      </c>
      <c r="F442" s="11" t="s">
        <v>337</v>
      </c>
      <c r="G442" s="11"/>
      <c r="H442" s="30" t="s">
        <v>469</v>
      </c>
      <c r="I442" s="11">
        <v>1993</v>
      </c>
      <c r="J442" s="23">
        <f>144.3/140.9</f>
        <v>1.0241305890702626</v>
      </c>
      <c r="K442" s="78">
        <f>6*J442</f>
        <v>6.144783534421576</v>
      </c>
      <c r="O442" s="28"/>
    </row>
    <row r="443" spans="1:15" ht="12.75">
      <c r="A443" s="11"/>
      <c r="B443" s="11"/>
      <c r="C443" s="11" t="s">
        <v>470</v>
      </c>
      <c r="D443" s="11" t="s">
        <v>62</v>
      </c>
      <c r="E443" s="11" t="s">
        <v>59</v>
      </c>
      <c r="F443" s="11" t="s">
        <v>446</v>
      </c>
      <c r="G443" s="11"/>
      <c r="H443" s="11">
        <v>45</v>
      </c>
      <c r="I443" s="11">
        <v>1993</v>
      </c>
      <c r="J443" s="23">
        <f>144.3/140.9</f>
        <v>1.0241305890702626</v>
      </c>
      <c r="K443" s="78">
        <f>H443*J443</f>
        <v>46.08587650816182</v>
      </c>
      <c r="M443" s="26">
        <f>MIN(K441:K443)</f>
        <v>6.144783534421576</v>
      </c>
      <c r="N443" s="26">
        <f>MAX(K441:K443)</f>
        <v>204.8261178140525</v>
      </c>
      <c r="O443" s="26">
        <f>AVERAGE(K441:K443)</f>
        <v>85.68559261887863</v>
      </c>
    </row>
    <row r="444" spans="12:15" ht="12.75">
      <c r="L444" s="44" t="s">
        <v>25</v>
      </c>
      <c r="M444" s="27">
        <f>(M439+M443)/2</f>
        <v>9.609851050598412</v>
      </c>
      <c r="N444" s="27">
        <f>(N439+N443)/2</f>
        <v>108.95051819041387</v>
      </c>
      <c r="O444" s="27">
        <f>(O439+O443)/2</f>
        <v>49.38025559282694</v>
      </c>
    </row>
    <row r="445" spans="1:2" ht="12.75">
      <c r="A445" s="4">
        <v>16</v>
      </c>
      <c r="B445" s="4" t="s">
        <v>68</v>
      </c>
    </row>
    <row r="446" spans="2:3" ht="12.75" customHeight="1">
      <c r="B446" s="3" t="s">
        <v>422</v>
      </c>
      <c r="C446" s="3"/>
    </row>
    <row r="447" spans="1:11" ht="12.75">
      <c r="A447" s="11"/>
      <c r="B447" s="11"/>
      <c r="C447" s="11" t="s">
        <v>400</v>
      </c>
      <c r="D447" s="11" t="s">
        <v>50</v>
      </c>
      <c r="E447" s="11" t="s">
        <v>471</v>
      </c>
      <c r="F447" s="11" t="s">
        <v>78</v>
      </c>
      <c r="G447" s="11"/>
      <c r="H447" s="11">
        <v>252</v>
      </c>
      <c r="I447" s="11" t="s">
        <v>440</v>
      </c>
      <c r="J447" s="23">
        <f>148.2/65.2</f>
        <v>2.2730061349693247</v>
      </c>
      <c r="K447" s="78">
        <f>H447*J447</f>
        <v>572.7975460122698</v>
      </c>
    </row>
    <row r="448" spans="1:15" ht="12.75">
      <c r="A448" s="11"/>
      <c r="B448" s="11"/>
      <c r="C448" s="11"/>
      <c r="D448" s="11" t="s">
        <v>262</v>
      </c>
      <c r="E448" s="11" t="s">
        <v>472</v>
      </c>
      <c r="F448" s="11" t="s">
        <v>166</v>
      </c>
      <c r="G448" s="11"/>
      <c r="H448" s="11" t="s">
        <v>473</v>
      </c>
      <c r="I448" s="11">
        <v>1990</v>
      </c>
      <c r="J448" s="23">
        <f>148.2/130.7</f>
        <v>1.13389441469013</v>
      </c>
      <c r="K448" s="78">
        <f>13*J448*0.4</f>
        <v>5.896250956388676</v>
      </c>
      <c r="O448" s="28"/>
    </row>
    <row r="449" spans="1:15" ht="12.75">
      <c r="A449" s="11"/>
      <c r="B449" s="11"/>
      <c r="C449" s="11"/>
      <c r="D449" s="11" t="s">
        <v>405</v>
      </c>
      <c r="E449" s="11" t="s">
        <v>406</v>
      </c>
      <c r="F449" s="11" t="s">
        <v>78</v>
      </c>
      <c r="G449" s="11"/>
      <c r="H449" s="11" t="s">
        <v>407</v>
      </c>
      <c r="I449" s="11">
        <v>1970</v>
      </c>
      <c r="J449" s="23">
        <f>148.2/38.8</f>
        <v>3.8195876288659796</v>
      </c>
      <c r="K449" s="78">
        <f>117.5*J449</f>
        <v>448.8015463917526</v>
      </c>
      <c r="M449" s="27">
        <f>MIN(K447:K449)</f>
        <v>5.896250956388676</v>
      </c>
      <c r="N449" s="27">
        <f>MAX(K447:K449)</f>
        <v>572.7975460122698</v>
      </c>
      <c r="O449" s="28">
        <f>AVERAGE(K447:K449)</f>
        <v>342.49844778680364</v>
      </c>
    </row>
    <row r="450" spans="2:3" ht="12.75">
      <c r="B450" s="3" t="s">
        <v>428</v>
      </c>
      <c r="C450" s="3"/>
    </row>
    <row r="451" spans="1:11" ht="12.75">
      <c r="A451" s="11"/>
      <c r="B451" s="11"/>
      <c r="C451" s="11" t="s">
        <v>474</v>
      </c>
      <c r="D451" s="11" t="s">
        <v>62</v>
      </c>
      <c r="E451" s="11" t="s">
        <v>475</v>
      </c>
      <c r="F451" s="11" t="s">
        <v>125</v>
      </c>
      <c r="G451" s="11"/>
      <c r="H451" s="11">
        <v>146</v>
      </c>
      <c r="I451" s="11">
        <v>1993</v>
      </c>
      <c r="J451" s="23">
        <f>148.2/144.5</f>
        <v>1.0256055363321799</v>
      </c>
      <c r="K451" s="78">
        <f>H451*J451</f>
        <v>149.73840830449825</v>
      </c>
    </row>
    <row r="452" spans="1:15" ht="12.75">
      <c r="A452" s="11"/>
      <c r="B452" s="11"/>
      <c r="C452" s="11" t="s">
        <v>400</v>
      </c>
      <c r="D452" s="11" t="s">
        <v>443</v>
      </c>
      <c r="E452" s="11" t="s">
        <v>444</v>
      </c>
      <c r="F452" s="11" t="s">
        <v>78</v>
      </c>
      <c r="G452" s="11"/>
      <c r="H452" s="11">
        <v>316</v>
      </c>
      <c r="I452" s="11">
        <v>1993</v>
      </c>
      <c r="J452" s="23">
        <f>148.2/144.5</f>
        <v>1.0256055363321799</v>
      </c>
      <c r="K452" s="78">
        <f>H452*J452</f>
        <v>324.09134948096886</v>
      </c>
      <c r="O452" s="28"/>
    </row>
    <row r="453" spans="1:15" ht="12.75">
      <c r="A453" s="11"/>
      <c r="B453" s="11"/>
      <c r="C453" s="11"/>
      <c r="D453" s="11" t="s">
        <v>62</v>
      </c>
      <c r="E453" s="11" t="s">
        <v>476</v>
      </c>
      <c r="F453" s="11" t="s">
        <v>477</v>
      </c>
      <c r="G453" s="11"/>
      <c r="H453" s="11" t="s">
        <v>478</v>
      </c>
      <c r="I453" s="11">
        <v>1993</v>
      </c>
      <c r="J453" s="23">
        <f>148.2/144.5</f>
        <v>1.0256055363321799</v>
      </c>
      <c r="K453" s="78">
        <f>1900*J453</f>
        <v>1948.6505190311418</v>
      </c>
      <c r="O453" s="28"/>
    </row>
    <row r="454" spans="1:15" ht="12.75">
      <c r="A454" s="11"/>
      <c r="B454" s="11"/>
      <c r="C454" s="11"/>
      <c r="D454" s="11" t="s">
        <v>62</v>
      </c>
      <c r="E454" s="11" t="s">
        <v>479</v>
      </c>
      <c r="F454" s="11" t="s">
        <v>480</v>
      </c>
      <c r="G454" s="11"/>
      <c r="H454" s="11">
        <v>133</v>
      </c>
      <c r="I454" s="11">
        <v>1993</v>
      </c>
      <c r="J454" s="23">
        <f>148.2/144.5</f>
        <v>1.0256055363321799</v>
      </c>
      <c r="K454" s="78">
        <f>H454*J454</f>
        <v>136.40553633217993</v>
      </c>
      <c r="M454" s="26">
        <f>MIN(K451:K454)</f>
        <v>136.40553633217993</v>
      </c>
      <c r="N454" s="26">
        <f>MAX(K451:K454)</f>
        <v>1948.6505190311418</v>
      </c>
      <c r="O454" s="26">
        <f>AVERAGE(K451:K454)</f>
        <v>639.7214532871973</v>
      </c>
    </row>
    <row r="455" spans="12:15" ht="12.75">
      <c r="L455" s="44" t="s">
        <v>25</v>
      </c>
      <c r="M455" s="27">
        <f>(M449+M454)/2</f>
        <v>71.15089364428431</v>
      </c>
      <c r="N455" s="27">
        <f>(N449+N454)/2</f>
        <v>1260.7240325217058</v>
      </c>
      <c r="O455" s="27">
        <f>(O449+O454)/2</f>
        <v>491.1099505370005</v>
      </c>
    </row>
    <row r="456" spans="1:2" ht="12.75">
      <c r="A456" s="4">
        <v>17</v>
      </c>
      <c r="B456" s="4" t="s">
        <v>71</v>
      </c>
    </row>
    <row r="457" spans="2:3" ht="12.75">
      <c r="B457" s="3" t="s">
        <v>422</v>
      </c>
      <c r="C457" s="3"/>
    </row>
    <row r="458" spans="1:11" ht="12.75">
      <c r="A458" s="11"/>
      <c r="B458" s="11"/>
      <c r="C458" s="11" t="s">
        <v>481</v>
      </c>
      <c r="D458" s="11" t="s">
        <v>405</v>
      </c>
      <c r="E458" s="11" t="s">
        <v>482</v>
      </c>
      <c r="F458" s="11" t="s">
        <v>78</v>
      </c>
      <c r="G458" s="11"/>
      <c r="H458" s="11" t="s">
        <v>483</v>
      </c>
      <c r="I458" s="11">
        <v>1970</v>
      </c>
      <c r="J458" s="23">
        <f>148.2/38.8</f>
        <v>3.8195876288659796</v>
      </c>
      <c r="K458" s="78">
        <f>459.5*J458</f>
        <v>1755.1005154639176</v>
      </c>
    </row>
    <row r="459" spans="1:15" ht="12.75">
      <c r="A459" s="11"/>
      <c r="B459" s="11"/>
      <c r="C459" s="11"/>
      <c r="D459" s="11" t="s">
        <v>50</v>
      </c>
      <c r="E459" s="11" t="s">
        <v>484</v>
      </c>
      <c r="F459" s="11"/>
      <c r="G459" s="11"/>
      <c r="H459" s="11" t="s">
        <v>485</v>
      </c>
      <c r="I459" s="11" t="s">
        <v>440</v>
      </c>
      <c r="J459" s="23">
        <f>148.2/65.2</f>
        <v>2.2730061349693247</v>
      </c>
      <c r="K459" s="78">
        <f>777.5*J459</f>
        <v>1767.26226993865</v>
      </c>
      <c r="M459" s="27">
        <f>MIN(K458:K459)</f>
        <v>1755.1005154639176</v>
      </c>
      <c r="N459" s="27">
        <f>MAX(K458:K459)</f>
        <v>1767.26226993865</v>
      </c>
      <c r="O459" s="28">
        <f>AVERAGE(K458:K459)</f>
        <v>1761.1813927012838</v>
      </c>
    </row>
    <row r="461" spans="12:15" ht="12.75">
      <c r="L461" s="82" t="s">
        <v>47</v>
      </c>
      <c r="M461" s="29">
        <f>M397+M404+M407+M412+M422+M428+M436+M444+M455+M459</f>
        <v>9865.182922679365</v>
      </c>
      <c r="N461" s="29">
        <f>N397+N404+N407+N412+N422+N428+N436+N444+N455+N459</f>
        <v>30331.41842435015</v>
      </c>
      <c r="O461" s="29">
        <f>O397+O404+O407+O412+O422+O428+O436+O444+O455+O459</f>
        <v>19580.451493358316</v>
      </c>
    </row>
    <row r="464" spans="1:2" ht="12.75">
      <c r="A464" s="4">
        <v>0</v>
      </c>
      <c r="B464" s="4" t="s">
        <v>74</v>
      </c>
    </row>
    <row r="465" spans="2:3" ht="12.75">
      <c r="B465" s="3" t="s">
        <v>422</v>
      </c>
      <c r="C465" s="3"/>
    </row>
    <row r="466" spans="1:11" ht="12.75">
      <c r="A466" s="11"/>
      <c r="B466" s="11"/>
      <c r="C466" s="11" t="s">
        <v>420</v>
      </c>
      <c r="D466" s="11" t="s">
        <v>50</v>
      </c>
      <c r="E466" s="11" t="s">
        <v>486</v>
      </c>
      <c r="F466" s="11" t="s">
        <v>78</v>
      </c>
      <c r="G466" s="11"/>
      <c r="H466" s="11">
        <v>28130</v>
      </c>
      <c r="I466" s="11" t="s">
        <v>440</v>
      </c>
      <c r="J466" s="23">
        <f>148.2/65.2</f>
        <v>2.2730061349693247</v>
      </c>
      <c r="K466" s="78">
        <f>H466*J466</f>
        <v>63939.6625766871</v>
      </c>
    </row>
    <row r="467" spans="1:15" ht="12.75">
      <c r="A467" s="11"/>
      <c r="B467" s="11"/>
      <c r="C467" s="11"/>
      <c r="D467" s="11" t="s">
        <v>62</v>
      </c>
      <c r="E467" s="11" t="s">
        <v>72</v>
      </c>
      <c r="F467" s="11" t="s">
        <v>78</v>
      </c>
      <c r="G467" s="11"/>
      <c r="H467" s="11" t="s">
        <v>487</v>
      </c>
      <c r="I467" s="11">
        <v>1993</v>
      </c>
      <c r="J467" s="23">
        <f>148.2/144.5</f>
        <v>1.0256055363321799</v>
      </c>
      <c r="K467" s="78">
        <f>8370*J467</f>
        <v>8584.318339100346</v>
      </c>
      <c r="O467" s="28"/>
    </row>
    <row r="468" spans="1:15" ht="12.75">
      <c r="A468" s="11"/>
      <c r="B468" s="11"/>
      <c r="C468" s="11" t="s">
        <v>75</v>
      </c>
      <c r="D468" s="11" t="s">
        <v>488</v>
      </c>
      <c r="E468" s="11" t="s">
        <v>489</v>
      </c>
      <c r="F468" s="11" t="s">
        <v>78</v>
      </c>
      <c r="G468" s="11"/>
      <c r="H468" s="11">
        <v>14573</v>
      </c>
      <c r="I468" s="11" t="s">
        <v>490</v>
      </c>
      <c r="J468" s="23">
        <f>104.6/26.5</f>
        <v>3.9471698113207543</v>
      </c>
      <c r="K468" s="78">
        <f>H468*J468</f>
        <v>57522.105660377354</v>
      </c>
      <c r="M468" s="27">
        <f>MIN(K466:K468)</f>
        <v>8584.318339100346</v>
      </c>
      <c r="N468" s="27">
        <f>MAX(K466:K468)</f>
        <v>63939.6625766871</v>
      </c>
      <c r="O468" s="28">
        <f>AVERAGE(K466:K468)</f>
        <v>43348.69552538826</v>
      </c>
    </row>
    <row r="469" spans="2:3" ht="12.75">
      <c r="B469" s="3" t="s">
        <v>428</v>
      </c>
      <c r="C469" s="3"/>
    </row>
    <row r="470" spans="1:11" ht="12.75">
      <c r="A470" s="11"/>
      <c r="B470" s="11"/>
      <c r="C470" s="11" t="s">
        <v>491</v>
      </c>
      <c r="D470" s="11" t="s">
        <v>62</v>
      </c>
      <c r="E470" s="11"/>
      <c r="F470" s="11" t="s">
        <v>78</v>
      </c>
      <c r="G470" s="11"/>
      <c r="H470" s="11">
        <v>4940</v>
      </c>
      <c r="I470" s="11" t="s">
        <v>492</v>
      </c>
      <c r="J470" s="23">
        <f>148.2/130.7</f>
        <v>1.13389441469013</v>
      </c>
      <c r="K470" s="78">
        <f>H470*J470</f>
        <v>5601.438408569242</v>
      </c>
    </row>
    <row r="471" spans="1:15" ht="12.75">
      <c r="A471" s="11"/>
      <c r="B471" s="11"/>
      <c r="C471" s="11" t="s">
        <v>493</v>
      </c>
      <c r="D471" s="11" t="s">
        <v>62</v>
      </c>
      <c r="E471" s="11" t="s">
        <v>72</v>
      </c>
      <c r="F471" s="11" t="s">
        <v>125</v>
      </c>
      <c r="G471" s="11"/>
      <c r="H471" s="11" t="s">
        <v>494</v>
      </c>
      <c r="I471" s="11">
        <v>1993</v>
      </c>
      <c r="J471" s="23">
        <f>148.2/144.5</f>
        <v>1.0256055363321799</v>
      </c>
      <c r="K471" s="78">
        <f>123*J471</f>
        <v>126.14948096885813</v>
      </c>
      <c r="O471" s="28"/>
    </row>
    <row r="472" spans="1:15" ht="12.75">
      <c r="A472" s="11"/>
      <c r="B472" s="11"/>
      <c r="C472" s="11" t="s">
        <v>75</v>
      </c>
      <c r="D472" s="11" t="s">
        <v>495</v>
      </c>
      <c r="E472" s="11" t="s">
        <v>77</v>
      </c>
      <c r="F472" s="11" t="s">
        <v>78</v>
      </c>
      <c r="G472" s="11"/>
      <c r="H472" s="11">
        <v>1213</v>
      </c>
      <c r="I472" s="11">
        <v>1979</v>
      </c>
      <c r="J472" s="23">
        <f>104.6/65.7</f>
        <v>1.5920852359208522</v>
      </c>
      <c r="K472" s="78">
        <f>H472*J472</f>
        <v>1931.1993911719937</v>
      </c>
      <c r="O472" s="28"/>
    </row>
    <row r="473" spans="1:15" ht="12.75">
      <c r="A473" s="11"/>
      <c r="B473" s="11"/>
      <c r="C473" s="11" t="s">
        <v>75</v>
      </c>
      <c r="D473" s="11" t="s">
        <v>495</v>
      </c>
      <c r="E473" s="11" t="s">
        <v>77</v>
      </c>
      <c r="F473" s="11" t="s">
        <v>78</v>
      </c>
      <c r="G473" s="11"/>
      <c r="H473" s="11">
        <v>326</v>
      </c>
      <c r="I473" s="11">
        <v>1979</v>
      </c>
      <c r="J473" s="23">
        <f>104.6/65.7</f>
        <v>1.5920852359208522</v>
      </c>
      <c r="K473" s="78">
        <f>H473*J473</f>
        <v>519.0197869101978</v>
      </c>
      <c r="M473" s="26">
        <f>MIN(K470:K473)</f>
        <v>126.14948096885813</v>
      </c>
      <c r="N473" s="26">
        <f>MAX(K470:K473)</f>
        <v>5601.438408569242</v>
      </c>
      <c r="O473" s="26">
        <f>AVERAGE(K470:K473)</f>
        <v>2044.4517669050729</v>
      </c>
    </row>
    <row r="474" spans="12:15" ht="12.75">
      <c r="L474" s="44" t="s">
        <v>25</v>
      </c>
      <c r="M474" s="27">
        <f>(M468+M473)/2</f>
        <v>4355.233910034602</v>
      </c>
      <c r="N474" s="27">
        <f>(N468+N473)/2</f>
        <v>34770.55049262817</v>
      </c>
      <c r="O474" s="27">
        <f>(O468+O473)/2</f>
        <v>22696.573646146666</v>
      </c>
    </row>
    <row r="476" spans="1:15" ht="19.5">
      <c r="A476" s="10" t="s">
        <v>496</v>
      </c>
      <c r="B476" s="9"/>
      <c r="C476" s="3"/>
      <c r="D476" s="3"/>
      <c r="E476" s="3"/>
      <c r="F476" s="3"/>
      <c r="G476" s="3"/>
      <c r="H476" s="3"/>
      <c r="I476" s="3"/>
      <c r="J476" s="20"/>
      <c r="K476" s="77"/>
      <c r="L476" s="26"/>
      <c r="M476" s="26"/>
      <c r="N476" s="26"/>
      <c r="O476" s="26"/>
    </row>
    <row r="477" spans="1:2" ht="12.75">
      <c r="A477" s="4">
        <v>4</v>
      </c>
      <c r="B477" s="4" t="s">
        <v>186</v>
      </c>
    </row>
    <row r="478" spans="3:15" ht="12.75">
      <c r="C478" s="1" t="s">
        <v>497</v>
      </c>
      <c r="D478" s="1" t="s">
        <v>498</v>
      </c>
      <c r="E478" s="1" t="s">
        <v>458</v>
      </c>
      <c r="F478" s="1" t="s">
        <v>499</v>
      </c>
      <c r="H478" s="1" t="s">
        <v>500</v>
      </c>
      <c r="I478" s="1">
        <v>1980</v>
      </c>
      <c r="J478" s="21">
        <v>1.8</v>
      </c>
      <c r="K478" s="67">
        <v>4480</v>
      </c>
      <c r="M478"/>
      <c r="N478"/>
      <c r="O478"/>
    </row>
    <row r="479" spans="4:11" ht="12.75">
      <c r="D479" s="1" t="s">
        <v>498</v>
      </c>
      <c r="E479" s="1" t="s">
        <v>458</v>
      </c>
      <c r="F479" s="1" t="s">
        <v>501</v>
      </c>
      <c r="H479" s="1" t="s">
        <v>502</v>
      </c>
      <c r="I479" s="1">
        <v>1980</v>
      </c>
      <c r="J479" s="21">
        <v>1.8</v>
      </c>
      <c r="K479" s="67">
        <v>1160</v>
      </c>
    </row>
    <row r="480" spans="4:15" ht="12.75">
      <c r="D480" s="1" t="s">
        <v>498</v>
      </c>
      <c r="E480" s="1" t="s">
        <v>458</v>
      </c>
      <c r="F480" s="1" t="s">
        <v>503</v>
      </c>
      <c r="H480" s="1" t="s">
        <v>504</v>
      </c>
      <c r="I480" s="1">
        <v>1980</v>
      </c>
      <c r="J480" s="21">
        <v>1.8</v>
      </c>
      <c r="K480" s="67">
        <v>3650</v>
      </c>
      <c r="M480" s="27">
        <f>K479</f>
        <v>1160</v>
      </c>
      <c r="N480" s="27">
        <f>K478</f>
        <v>4480</v>
      </c>
      <c r="O480" s="27">
        <f>AVERAGE(M480:N480)</f>
        <v>2820</v>
      </c>
    </row>
    <row r="481" spans="3:15" ht="12.75">
      <c r="C481" s="1" t="s">
        <v>505</v>
      </c>
      <c r="D481" s="1" t="s">
        <v>498</v>
      </c>
      <c r="E481" s="1" t="s">
        <v>506</v>
      </c>
      <c r="F481" s="1" t="s">
        <v>78</v>
      </c>
      <c r="H481" s="69" t="s">
        <v>507</v>
      </c>
      <c r="I481" s="1">
        <v>1980</v>
      </c>
      <c r="J481" s="21">
        <v>1.8</v>
      </c>
      <c r="K481" s="67" t="s">
        <v>508</v>
      </c>
      <c r="M481" s="26">
        <v>1910</v>
      </c>
      <c r="N481" s="26">
        <v>3340</v>
      </c>
      <c r="O481" s="26">
        <f>AVERAGE(M481:N481)</f>
        <v>2625</v>
      </c>
    </row>
    <row r="482" spans="1:45" s="11" customFormat="1" ht="12.75">
      <c r="A482" s="4"/>
      <c r="B482" s="4"/>
      <c r="C482" s="1"/>
      <c r="D482" s="1"/>
      <c r="E482" s="1"/>
      <c r="F482" s="1"/>
      <c r="G482" s="1"/>
      <c r="H482" s="1"/>
      <c r="I482" s="1"/>
      <c r="J482" s="21"/>
      <c r="K482" s="67"/>
      <c r="L482" s="27" t="s">
        <v>509</v>
      </c>
      <c r="M482" s="27">
        <f>SUM(M480:M481)</f>
        <v>3070</v>
      </c>
      <c r="N482" s="27">
        <f>SUM(N480:N481)</f>
        <v>7820</v>
      </c>
      <c r="O482" s="27">
        <f>SUM(O480:O481)</f>
        <v>5445</v>
      </c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</row>
    <row r="484" spans="1:14" ht="12.75">
      <c r="A484" s="4">
        <v>5</v>
      </c>
      <c r="B484" s="4" t="s">
        <v>193</v>
      </c>
      <c r="M484" s="27">
        <f>49*445000000/200000000</f>
        <v>109.025</v>
      </c>
      <c r="N484" s="27">
        <f>92*445000000/200000000</f>
        <v>204.7</v>
      </c>
    </row>
    <row r="485" spans="3:15" ht="12.75">
      <c r="C485" s="1" t="s">
        <v>510</v>
      </c>
      <c r="D485" s="1" t="s">
        <v>498</v>
      </c>
      <c r="E485" s="1" t="s">
        <v>458</v>
      </c>
      <c r="F485" s="1" t="s">
        <v>78</v>
      </c>
      <c r="H485" s="1" t="s">
        <v>511</v>
      </c>
      <c r="I485" s="1">
        <v>1980</v>
      </c>
      <c r="J485" s="21">
        <v>1.8</v>
      </c>
      <c r="K485" s="67" t="s">
        <v>512</v>
      </c>
      <c r="M485"/>
      <c r="N485"/>
      <c r="O485"/>
    </row>
    <row r="486" spans="4:11" ht="12.75">
      <c r="D486" s="1" t="s">
        <v>498</v>
      </c>
      <c r="E486" s="1" t="s">
        <v>458</v>
      </c>
      <c r="F486" s="1" t="s">
        <v>78</v>
      </c>
      <c r="H486" s="1" t="s">
        <v>513</v>
      </c>
      <c r="I486" s="1">
        <v>1972</v>
      </c>
      <c r="J486" s="21">
        <v>3.8</v>
      </c>
      <c r="K486" s="67" t="s">
        <v>514</v>
      </c>
    </row>
    <row r="487" spans="4:15" ht="12.75">
      <c r="D487" s="1" t="s">
        <v>515</v>
      </c>
      <c r="E487" s="1" t="s">
        <v>458</v>
      </c>
      <c r="F487" s="1" t="s">
        <v>516</v>
      </c>
      <c r="H487" s="1" t="s">
        <v>517</v>
      </c>
      <c r="I487" s="1">
        <v>1971</v>
      </c>
      <c r="J487" s="21">
        <v>3.8</v>
      </c>
      <c r="K487" s="67" t="s">
        <v>518</v>
      </c>
      <c r="M487" s="27">
        <f>31*445000000/200000000</f>
        <v>68.975</v>
      </c>
      <c r="N487" s="27">
        <f>1256*445000000/200000000</f>
        <v>2794.6</v>
      </c>
      <c r="O487" s="28">
        <f>AVERAGE(M487:N487)</f>
        <v>1431.7875</v>
      </c>
    </row>
    <row r="488" spans="3:15" ht="12.75">
      <c r="C488" s="1" t="s">
        <v>519</v>
      </c>
      <c r="D488" s="1" t="s">
        <v>498</v>
      </c>
      <c r="E488" s="1" t="s">
        <v>458</v>
      </c>
      <c r="F488" s="1" t="s">
        <v>78</v>
      </c>
      <c r="H488" s="1" t="s">
        <v>520</v>
      </c>
      <c r="I488" s="1">
        <v>1980</v>
      </c>
      <c r="J488" s="21">
        <v>1.8</v>
      </c>
      <c r="K488" s="67" t="s">
        <v>521</v>
      </c>
      <c r="M488" s="27">
        <f>38*445000000/200000000</f>
        <v>84.55</v>
      </c>
      <c r="N488" s="27">
        <f>292*445000000/200000000</f>
        <v>649.7</v>
      </c>
      <c r="O488" s="28">
        <f>AVERAGE(M488:N488)</f>
        <v>367.125</v>
      </c>
    </row>
    <row r="489" spans="3:15" ht="12.75">
      <c r="C489" s="1" t="s">
        <v>522</v>
      </c>
      <c r="D489" s="1" t="s">
        <v>498</v>
      </c>
      <c r="E489" s="1" t="s">
        <v>458</v>
      </c>
      <c r="F489" s="1" t="s">
        <v>523</v>
      </c>
      <c r="H489" s="1" t="s">
        <v>524</v>
      </c>
      <c r="I489" s="1">
        <v>1980</v>
      </c>
      <c r="J489" s="21">
        <v>1.8</v>
      </c>
      <c r="K489" s="67" t="s">
        <v>525</v>
      </c>
      <c r="M489"/>
      <c r="N489"/>
      <c r="O489"/>
    </row>
    <row r="490" spans="6:15" ht="12.75">
      <c r="F490" s="1" t="s">
        <v>526</v>
      </c>
      <c r="H490" s="1" t="s">
        <v>527</v>
      </c>
      <c r="I490" s="1">
        <v>1980</v>
      </c>
      <c r="J490" s="21">
        <v>1.8</v>
      </c>
      <c r="K490" s="67" t="s">
        <v>528</v>
      </c>
      <c r="L490"/>
      <c r="M490"/>
      <c r="N490"/>
      <c r="O490"/>
    </row>
    <row r="491" spans="6:15" ht="12.75">
      <c r="F491" s="1" t="s">
        <v>529</v>
      </c>
      <c r="H491" s="1" t="s">
        <v>530</v>
      </c>
      <c r="I491" s="1">
        <v>1980</v>
      </c>
      <c r="J491" s="21">
        <v>1.8</v>
      </c>
      <c r="K491" s="67" t="s">
        <v>531</v>
      </c>
      <c r="M491" s="26">
        <f>30*445000000/200000000</f>
        <v>66.75</v>
      </c>
      <c r="N491" s="26">
        <f>256*445000000/200000000</f>
        <v>569.6</v>
      </c>
      <c r="O491" s="26">
        <f>AVERAGE(M491:N491)</f>
        <v>318.175</v>
      </c>
    </row>
    <row r="492" spans="12:15" ht="12.75">
      <c r="L492" s="27" t="s">
        <v>532</v>
      </c>
      <c r="M492" s="27">
        <f>SUM(M487:M491)</f>
        <v>220.27499999999998</v>
      </c>
      <c r="N492" s="27">
        <f>SUM(N487:N491)</f>
        <v>4013.9</v>
      </c>
      <c r="O492" s="27">
        <f>SUM(O487:O491)</f>
        <v>2117.0875</v>
      </c>
    </row>
    <row r="493" ht="12.75">
      <c r="M493"/>
    </row>
    <row r="494" spans="1:2" ht="12.75">
      <c r="A494" s="4">
        <v>9</v>
      </c>
      <c r="B494" s="4" t="s">
        <v>213</v>
      </c>
    </row>
    <row r="495" spans="3:15" ht="12.75">
      <c r="C495" s="1" t="s">
        <v>533</v>
      </c>
      <c r="D495" s="1" t="s">
        <v>498</v>
      </c>
      <c r="E495" s="1" t="s">
        <v>54</v>
      </c>
      <c r="F495" s="1" t="s">
        <v>78</v>
      </c>
      <c r="H495" s="1" t="s">
        <v>534</v>
      </c>
      <c r="I495" s="1">
        <v>1980</v>
      </c>
      <c r="K495" s="67" t="s">
        <v>535</v>
      </c>
      <c r="M495" s="28">
        <f>1*19000000000/200000000</f>
        <v>95</v>
      </c>
      <c r="N495" s="28">
        <f>13*19000000000/200000000</f>
        <v>1235</v>
      </c>
      <c r="O495" s="27">
        <f>AVERAGE(M495:N495)</f>
        <v>665</v>
      </c>
    </row>
    <row r="497" spans="1:15" ht="12.75">
      <c r="A497" s="4">
        <v>13</v>
      </c>
      <c r="B497" s="4" t="s">
        <v>39</v>
      </c>
      <c r="M497"/>
      <c r="N497"/>
      <c r="O497"/>
    </row>
    <row r="498" spans="3:15" ht="12.75">
      <c r="C498" s="1" t="s">
        <v>536</v>
      </c>
      <c r="D498" s="1" t="s">
        <v>537</v>
      </c>
      <c r="E498" s="1" t="s">
        <v>458</v>
      </c>
      <c r="F498" s="1" t="s">
        <v>30</v>
      </c>
      <c r="M498" s="27">
        <f>8200000000/200000000</f>
        <v>41</v>
      </c>
      <c r="N498" s="27">
        <f>8200000000/200000000</f>
        <v>41</v>
      </c>
      <c r="O498" s="27">
        <f>8200000000/200000000</f>
        <v>41</v>
      </c>
    </row>
    <row r="500" spans="1:13" ht="12.75">
      <c r="A500" s="4">
        <v>15</v>
      </c>
      <c r="B500" s="4" t="s">
        <v>68</v>
      </c>
      <c r="M500"/>
    </row>
    <row r="501" spans="3:15" ht="12.75">
      <c r="C501" s="1" t="s">
        <v>538</v>
      </c>
      <c r="D501" s="1" t="s">
        <v>537</v>
      </c>
      <c r="E501" s="1" t="s">
        <v>458</v>
      </c>
      <c r="F501" s="1" t="s">
        <v>78</v>
      </c>
      <c r="M501" s="26">
        <f>46000000000/200000000</f>
        <v>230</v>
      </c>
      <c r="N501" s="26">
        <f>46000000000/200000000</f>
        <v>230</v>
      </c>
      <c r="O501" s="26">
        <f>46000000000/200000000</f>
        <v>230</v>
      </c>
    </row>
    <row r="502" spans="12:15" ht="12.75">
      <c r="L502" s="24" t="s">
        <v>47</v>
      </c>
      <c r="M502" s="24">
        <f>M482+M492+M495+M498+M501</f>
        <v>3656.275</v>
      </c>
      <c r="N502" s="24">
        <f>N482+N492+N495+N498+N501</f>
        <v>13339.9</v>
      </c>
      <c r="O502" s="24">
        <f>O482+O492+O495+O498+O501</f>
        <v>8498.0875</v>
      </c>
    </row>
  </sheetData>
  <sheetProtection/>
  <printOptions horizontalCentered="1"/>
  <pageMargins left="0.5" right="0.5" top="0.5" bottom="0.5" header="0.5" footer="0.5"/>
  <pageSetup fitToHeight="0"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Claudio</cp:lastModifiedBy>
  <dcterms:created xsi:type="dcterms:W3CDTF">1999-11-26T09:29:14Z</dcterms:created>
  <dcterms:modified xsi:type="dcterms:W3CDTF">2009-04-21T02:48:53Z</dcterms:modified>
  <cp:category/>
  <cp:version/>
  <cp:contentType/>
  <cp:contentStatus/>
</cp:coreProperties>
</file>