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440" windowHeight="11760"/>
  </bookViews>
  <sheets>
    <sheet name="Tarature" sheetId="1" r:id="rId1"/>
    <sheet name="Chauvenet" sheetId="2" r:id="rId2"/>
    <sheet name="Confronto fra cicli" sheetId="3" r:id="rId3"/>
  </sheets>
  <calcPr calcId="125725"/>
</workbook>
</file>

<file path=xl/calcChain.xml><?xml version="1.0" encoding="utf-8"?>
<calcChain xmlns="http://schemas.openxmlformats.org/spreadsheetml/2006/main">
  <c r="C20" i="3"/>
  <c r="D14" i="2"/>
  <c r="D19" s="1"/>
  <c r="D20" s="1"/>
  <c r="D16" l="1"/>
  <c r="W37" i="1"/>
  <c r="W36"/>
  <c r="W35"/>
  <c r="W34"/>
  <c r="W32"/>
  <c r="V4"/>
  <c r="W4"/>
  <c r="V5"/>
  <c r="W5" s="1"/>
  <c r="V6"/>
  <c r="W6" s="1"/>
  <c r="V7"/>
  <c r="W7" s="1"/>
  <c r="V8"/>
  <c r="W8"/>
  <c r="V9"/>
  <c r="W9" s="1"/>
  <c r="V10"/>
  <c r="W10" s="1"/>
  <c r="V11"/>
  <c r="W11" s="1"/>
  <c r="V12"/>
  <c r="W12"/>
  <c r="V13"/>
  <c r="W13" s="1"/>
  <c r="V14"/>
  <c r="W14" s="1"/>
  <c r="V15"/>
  <c r="W15" s="1"/>
  <c r="V16"/>
  <c r="W16"/>
  <c r="V17"/>
  <c r="W17" s="1"/>
  <c r="V18"/>
  <c r="W18" s="1"/>
  <c r="V19"/>
  <c r="W19" s="1"/>
  <c r="V20"/>
  <c r="W20"/>
  <c r="V21"/>
  <c r="W21" s="1"/>
  <c r="V22"/>
  <c r="W22" s="1"/>
  <c r="V23"/>
  <c r="W23" s="1"/>
  <c r="V24"/>
  <c r="W24"/>
  <c r="V25"/>
  <c r="W25" s="1"/>
  <c r="V26"/>
  <c r="W26" s="1"/>
  <c r="V27"/>
  <c r="W27" s="1"/>
  <c r="V28"/>
  <c r="W28"/>
  <c r="V29"/>
  <c r="W29" s="1"/>
  <c r="V3"/>
  <c r="W3"/>
  <c r="E20"/>
  <c r="U35"/>
  <c r="U33"/>
  <c r="U32"/>
  <c r="U31"/>
  <c r="U22"/>
  <c r="U23"/>
  <c r="U24"/>
  <c r="U25"/>
  <c r="U26"/>
  <c r="U27"/>
  <c r="U28"/>
  <c r="U29"/>
  <c r="U21"/>
  <c r="U13"/>
  <c r="U14"/>
  <c r="U15"/>
  <c r="U16"/>
  <c r="U17"/>
  <c r="U18"/>
  <c r="U19"/>
  <c r="U20"/>
  <c r="U12"/>
  <c r="U4"/>
  <c r="U5"/>
  <c r="U6"/>
  <c r="U7"/>
  <c r="U8"/>
  <c r="U9"/>
  <c r="U10"/>
  <c r="U11"/>
  <c r="U3"/>
  <c r="Q15"/>
  <c r="L15"/>
  <c r="G15"/>
  <c r="Q12"/>
  <c r="Q11"/>
  <c r="Q10"/>
  <c r="Q9"/>
  <c r="Q8"/>
  <c r="Q7"/>
  <c r="Q6"/>
  <c r="Q5"/>
  <c r="Q4"/>
  <c r="L12"/>
  <c r="L11"/>
  <c r="L10"/>
  <c r="L9"/>
  <c r="L8"/>
  <c r="L7"/>
  <c r="L6"/>
  <c r="L5"/>
  <c r="L4"/>
  <c r="G5"/>
  <c r="G6"/>
  <c r="G7"/>
  <c r="G8"/>
  <c r="G9"/>
  <c r="G10"/>
  <c r="G11"/>
  <c r="G12"/>
  <c r="G4"/>
  <c r="P12"/>
  <c r="P11"/>
  <c r="P10"/>
  <c r="P9"/>
  <c r="P8"/>
  <c r="P7"/>
  <c r="P6"/>
  <c r="P5"/>
  <c r="P4"/>
  <c r="K12"/>
  <c r="K11"/>
  <c r="K10"/>
  <c r="K9"/>
  <c r="K8"/>
  <c r="K7"/>
  <c r="K6"/>
  <c r="K5"/>
  <c r="K4"/>
  <c r="F5"/>
  <c r="F6"/>
  <c r="F7"/>
  <c r="F8"/>
  <c r="F9"/>
  <c r="F10"/>
  <c r="F11"/>
  <c r="F12"/>
  <c r="F4"/>
  <c r="O18"/>
  <c r="J18"/>
  <c r="E18"/>
  <c r="O16"/>
  <c r="J16"/>
  <c r="E16"/>
  <c r="O15"/>
  <c r="O14"/>
  <c r="J15"/>
  <c r="J14"/>
  <c r="E15"/>
  <c r="D8"/>
  <c r="D7"/>
  <c r="D6"/>
  <c r="D5"/>
  <c r="B7"/>
  <c r="B6"/>
  <c r="B5"/>
  <c r="B4"/>
  <c r="D12"/>
  <c r="D15" i="2" l="1"/>
  <c r="D11" i="1"/>
  <c r="D22" i="2" l="1"/>
  <c r="E6"/>
  <c r="F6" s="1"/>
  <c r="E8"/>
  <c r="F8" s="1"/>
  <c r="E10"/>
  <c r="F10" s="1"/>
  <c r="E12"/>
  <c r="F12" s="1"/>
  <c r="E5"/>
  <c r="F5" s="1"/>
  <c r="E7"/>
  <c r="F7" s="1"/>
  <c r="E9"/>
  <c r="F9" s="1"/>
  <c r="E11"/>
  <c r="F11" s="1"/>
  <c r="E4"/>
  <c r="F4" s="1"/>
  <c r="D10" i="1"/>
  <c r="F16" i="2" l="1"/>
  <c r="H21" s="1"/>
  <c r="F15"/>
  <c r="E14" i="1"/>
  <c r="D9"/>
  <c r="I21" i="2" l="1"/>
  <c r="H4" s="1"/>
  <c r="H10" l="1"/>
  <c r="H11"/>
  <c r="H6"/>
  <c r="H12"/>
  <c r="H7"/>
  <c r="H9"/>
  <c r="H8"/>
  <c r="H5"/>
</calcChain>
</file>

<file path=xl/comments1.xml><?xml version="1.0" encoding="utf-8"?>
<comments xmlns="http://schemas.openxmlformats.org/spreadsheetml/2006/main">
  <authors>
    <author>Tony</author>
  </authors>
  <commentList>
    <comment ref="F3" authorId="0">
      <text>
        <r>
          <rPr>
            <b/>
            <sz val="9"/>
            <color indexed="81"/>
            <rFont val="Tahoma"/>
            <charset val="1"/>
          </rPr>
          <t>Output che avrei usando la retta di regressione.</t>
        </r>
      </text>
    </comment>
    <comment ref="G14" authorId="0">
      <text>
        <r>
          <rPr>
            <b/>
            <sz val="9"/>
            <color indexed="81"/>
            <rFont val="Tahoma"/>
            <charset val="1"/>
          </rPr>
          <t>Errore sulla stima</t>
        </r>
      </text>
    </comment>
    <comment ref="A18" authorId="0">
      <text>
        <r>
          <rPr>
            <b/>
            <sz val="9"/>
            <color indexed="81"/>
            <rFont val="Tahoma"/>
            <charset val="1"/>
          </rPr>
          <t>N.B: Fondo Scala = 2 kg;
Tensione di alimentazione = 5V;
Amplificazione = 1000.</t>
        </r>
      </text>
    </comment>
  </commentList>
</comments>
</file>

<file path=xl/sharedStrings.xml><?xml version="1.0" encoding="utf-8"?>
<sst xmlns="http://schemas.openxmlformats.org/spreadsheetml/2006/main" count="80" uniqueCount="37">
  <si>
    <t>Pesi campione</t>
  </si>
  <si>
    <t>n. 1</t>
  </si>
  <si>
    <t>n. 2</t>
  </si>
  <si>
    <t>n. 3</t>
  </si>
  <si>
    <t>n. 4</t>
  </si>
  <si>
    <t>Ciclo n.1</t>
  </si>
  <si>
    <t>P (kg)</t>
  </si>
  <si>
    <t>n</t>
  </si>
  <si>
    <t>Output (V)</t>
  </si>
  <si>
    <t>Ciclo n.2</t>
  </si>
  <si>
    <t>Ciclo n.3</t>
  </si>
  <si>
    <t>pendenza</t>
  </si>
  <si>
    <t>intercetta</t>
  </si>
  <si>
    <t>[V/kg]</t>
  </si>
  <si>
    <t>[V]</t>
  </si>
  <si>
    <t>Output a FS (mV/V)</t>
  </si>
  <si>
    <t>Out regr.</t>
  </si>
  <si>
    <t>diff quad.</t>
  </si>
  <si>
    <t>Output medio a FS (mV/V)</t>
  </si>
  <si>
    <t>(V)</t>
  </si>
  <si>
    <t>(kg)</t>
  </si>
  <si>
    <t>(g)</t>
  </si>
  <si>
    <t>(3s, g)</t>
  </si>
  <si>
    <t>(% FS)</t>
  </si>
  <si>
    <t>diff.</t>
  </si>
  <si>
    <t>media</t>
  </si>
  <si>
    <t>dev st</t>
  </si>
  <si>
    <t>P</t>
  </si>
  <si>
    <t>F</t>
  </si>
  <si>
    <t>z</t>
  </si>
  <si>
    <t>range accettabilità</t>
  </si>
  <si>
    <t>inf</t>
  </si>
  <si>
    <t>sup</t>
  </si>
  <si>
    <t>accettabile?</t>
  </si>
  <si>
    <t>s</t>
  </si>
  <si>
    <t>Combinazione dei 3 cicli</t>
  </si>
  <si>
    <t>Note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</si>
</sst>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000"/>
    <numFmt numFmtId="166" formatCode="0.000000"/>
    <numFmt numFmtId="167" formatCode="0.00000"/>
  </numFmts>
  <fonts count="2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 applyAlignment="1">
      <alignment horizontal="center"/>
    </xf>
    <xf numFmtId="165" fontId="0" fillId="0" borderId="3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0" xfId="0" applyNumberFormat="1" applyBorder="1"/>
    <xf numFmtId="0" fontId="0" fillId="0" borderId="1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66" fontId="0" fillId="0" borderId="4" xfId="0" applyNumberFormat="1" applyBorder="1"/>
    <xf numFmtId="165" fontId="0" fillId="0" borderId="5" xfId="0" applyNumberFormat="1" applyBorder="1"/>
    <xf numFmtId="164" fontId="0" fillId="0" borderId="11" xfId="0" applyNumberFormat="1" applyBorder="1"/>
    <xf numFmtId="166" fontId="0" fillId="0" borderId="6" xfId="0" applyNumberFormat="1" applyBorder="1"/>
    <xf numFmtId="167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Ciclo n.1</a:t>
            </a:r>
          </a:p>
        </c:rich>
      </c:tx>
      <c:layout>
        <c:manualLayout>
          <c:xMode val="edge"/>
          <c:yMode val="edge"/>
          <c:x val="0.12050699912510943"/>
          <c:y val="6.9444444444444503E-2"/>
        </c:manualLayout>
      </c:layout>
      <c:overlay val="1"/>
      <c:spPr>
        <a:solidFill>
          <a:schemeClr val="bg1"/>
        </a:solidFill>
        <a:ln>
          <a:solidFill>
            <a:schemeClr val="accent1"/>
          </a:solidFill>
        </a:ln>
      </c:spPr>
    </c:title>
    <c:plotArea>
      <c:layout/>
      <c:scatterChart>
        <c:scatterStyle val="lineMarker"/>
        <c:ser>
          <c:idx val="0"/>
          <c:order val="0"/>
          <c:tx>
            <c:strRef>
              <c:f>Tarature!$E$3</c:f>
              <c:strCache>
                <c:ptCount val="1"/>
                <c:pt idx="0">
                  <c:v>Output (V)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6.330795427431081E-2"/>
                  <c:y val="0.35027766266058846"/>
                </c:manualLayout>
              </c:layout>
              <c:numFmt formatCode="General" sourceLinked="0"/>
              <c:spPr>
                <a:solidFill>
                  <a:sysClr val="window" lastClr="FFFFFF"/>
                </a:solidFill>
                <a:ln>
                  <a:solidFill>
                    <a:schemeClr val="accent1"/>
                  </a:solidFill>
                </a:ln>
              </c:spPr>
            </c:trendlineLbl>
          </c:trendline>
          <c:xVal>
            <c:numRef>
              <c:f>Tarature!$D$4:$D$12</c:f>
              <c:numCache>
                <c:formatCode>0.0000</c:formatCode>
                <c:ptCount val="9"/>
                <c:pt idx="0">
                  <c:v>0</c:v>
                </c:pt>
                <c:pt idx="1">
                  <c:v>0.49760000000000004</c:v>
                </c:pt>
                <c:pt idx="2">
                  <c:v>0.99680000000000002</c:v>
                </c:pt>
                <c:pt idx="3">
                  <c:v>1.4950000000000001</c:v>
                </c:pt>
                <c:pt idx="4">
                  <c:v>1.9898000000000002</c:v>
                </c:pt>
                <c:pt idx="5">
                  <c:v>1.4950000000000001</c:v>
                </c:pt>
                <c:pt idx="6">
                  <c:v>0.99680000000000002</c:v>
                </c:pt>
                <c:pt idx="7">
                  <c:v>0.49760000000000004</c:v>
                </c:pt>
                <c:pt idx="8">
                  <c:v>0</c:v>
                </c:pt>
              </c:numCache>
            </c:numRef>
          </c:xVal>
          <c:yVal>
            <c:numRef>
              <c:f>Tarature!$E$4:$E$12</c:f>
              <c:numCache>
                <c:formatCode>0.000</c:formatCode>
                <c:ptCount val="9"/>
                <c:pt idx="0">
                  <c:v>0</c:v>
                </c:pt>
                <c:pt idx="1">
                  <c:v>2.5030000000000001</c:v>
                </c:pt>
                <c:pt idx="2">
                  <c:v>4.9990000000000006</c:v>
                </c:pt>
                <c:pt idx="3">
                  <c:v>7.5</c:v>
                </c:pt>
                <c:pt idx="4">
                  <c:v>9.9849999999999994</c:v>
                </c:pt>
                <c:pt idx="5">
                  <c:v>7.5</c:v>
                </c:pt>
                <c:pt idx="6">
                  <c:v>5.0040000000000004</c:v>
                </c:pt>
                <c:pt idx="7">
                  <c:v>2.5020000000000002</c:v>
                </c:pt>
                <c:pt idx="8">
                  <c:v>4.0000000000004476E-3</c:v>
                </c:pt>
              </c:numCache>
            </c:numRef>
          </c:yVal>
        </c:ser>
        <c:axId val="112176128"/>
        <c:axId val="112309376"/>
      </c:scatterChart>
      <c:valAx>
        <c:axId val="112176128"/>
        <c:scaling>
          <c:orientation val="minMax"/>
          <c:max val="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 (kg)</a:t>
                </a:r>
              </a:p>
            </c:rich>
          </c:tx>
          <c:layout>
            <c:manualLayout>
              <c:xMode val="edge"/>
              <c:yMode val="edge"/>
              <c:x val="0.48521281714785713"/>
              <c:y val="0.90182852143482062"/>
            </c:manualLayout>
          </c:layout>
        </c:title>
        <c:numFmt formatCode="0.00" sourceLinked="0"/>
        <c:tickLblPos val="nextTo"/>
        <c:crossAx val="112309376"/>
        <c:crosses val="autoZero"/>
        <c:crossBetween val="midCat"/>
      </c:valAx>
      <c:valAx>
        <c:axId val="112309376"/>
        <c:scaling>
          <c:orientation val="minMax"/>
          <c:max val="10"/>
        </c:scaling>
        <c:axPos val="l"/>
        <c:majorGridlines/>
        <c:numFmt formatCode="0.00" sourceLinked="0"/>
        <c:tickLblPos val="nextTo"/>
        <c:crossAx val="112176128"/>
        <c:crosses val="autoZero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Ciclo n.2</a:t>
            </a:r>
          </a:p>
        </c:rich>
      </c:tx>
      <c:layout>
        <c:manualLayout>
          <c:xMode val="edge"/>
          <c:yMode val="edge"/>
          <c:x val="0.12050699912510945"/>
          <c:y val="6.9444444444444503E-2"/>
        </c:manualLayout>
      </c:layout>
      <c:overlay val="1"/>
      <c:spPr>
        <a:solidFill>
          <a:schemeClr val="bg1"/>
        </a:solidFill>
        <a:ln>
          <a:solidFill>
            <a:schemeClr val="accent1"/>
          </a:solidFill>
        </a:ln>
      </c:spPr>
    </c:title>
    <c:plotArea>
      <c:layout/>
      <c:scatterChart>
        <c:scatterStyle val="lineMarker"/>
        <c:ser>
          <c:idx val="0"/>
          <c:order val="0"/>
          <c:tx>
            <c:strRef>
              <c:f>Tarature!$E$3</c:f>
              <c:strCache>
                <c:ptCount val="1"/>
                <c:pt idx="0">
                  <c:v>Output (V)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5.2582518094329123E-2"/>
                  <c:y val="0.3327338030114658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solidFill>
                    <a:schemeClr val="accent1"/>
                  </a:solidFill>
                </a:ln>
              </c:spPr>
            </c:trendlineLbl>
          </c:trendline>
          <c:xVal>
            <c:numRef>
              <c:f>Tarature!$I$4:$I$12</c:f>
              <c:numCache>
                <c:formatCode>0.0000</c:formatCode>
                <c:ptCount val="9"/>
                <c:pt idx="0">
                  <c:v>0</c:v>
                </c:pt>
                <c:pt idx="1">
                  <c:v>0.49760000000000004</c:v>
                </c:pt>
                <c:pt idx="2">
                  <c:v>0.99680000000000002</c:v>
                </c:pt>
                <c:pt idx="3">
                  <c:v>1.4950000000000001</c:v>
                </c:pt>
                <c:pt idx="4">
                  <c:v>1.9898000000000002</c:v>
                </c:pt>
                <c:pt idx="5">
                  <c:v>1.4950000000000001</c:v>
                </c:pt>
                <c:pt idx="6">
                  <c:v>0.99680000000000002</c:v>
                </c:pt>
                <c:pt idx="7">
                  <c:v>0.49760000000000004</c:v>
                </c:pt>
                <c:pt idx="8">
                  <c:v>0</c:v>
                </c:pt>
              </c:numCache>
            </c:numRef>
          </c:xVal>
          <c:yVal>
            <c:numRef>
              <c:f>Tarature!$J$4:$J$12</c:f>
              <c:numCache>
                <c:formatCode>0.000</c:formatCode>
                <c:ptCount val="9"/>
                <c:pt idx="0">
                  <c:v>0</c:v>
                </c:pt>
                <c:pt idx="1">
                  <c:v>2.4979999999999998</c:v>
                </c:pt>
                <c:pt idx="2">
                  <c:v>4.9980000000000002</c:v>
                </c:pt>
                <c:pt idx="3">
                  <c:v>7.4979999999999993</c:v>
                </c:pt>
                <c:pt idx="4">
                  <c:v>9.9819999999999993</c:v>
                </c:pt>
                <c:pt idx="5">
                  <c:v>7.4979999999999993</c:v>
                </c:pt>
                <c:pt idx="6">
                  <c:v>4.9969999999999999</c:v>
                </c:pt>
                <c:pt idx="7">
                  <c:v>2.4909999999999997</c:v>
                </c:pt>
                <c:pt idx="8">
                  <c:v>-1.9999999999997797E-3</c:v>
                </c:pt>
              </c:numCache>
            </c:numRef>
          </c:yVal>
        </c:ser>
        <c:axId val="112006272"/>
        <c:axId val="112008192"/>
      </c:scatterChart>
      <c:valAx>
        <c:axId val="112006272"/>
        <c:scaling>
          <c:orientation val="minMax"/>
          <c:max val="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 (kg)</a:t>
                </a:r>
              </a:p>
            </c:rich>
          </c:tx>
          <c:layout>
            <c:manualLayout>
              <c:xMode val="edge"/>
              <c:yMode val="edge"/>
              <c:x val="0.48521281714785741"/>
              <c:y val="0.90182852143482062"/>
            </c:manualLayout>
          </c:layout>
        </c:title>
        <c:numFmt formatCode="0.00" sourceLinked="0"/>
        <c:tickLblPos val="nextTo"/>
        <c:crossAx val="112008192"/>
        <c:crosses val="autoZero"/>
        <c:crossBetween val="midCat"/>
      </c:valAx>
      <c:valAx>
        <c:axId val="112008192"/>
        <c:scaling>
          <c:orientation val="minMax"/>
          <c:max val="10"/>
        </c:scaling>
        <c:axPos val="l"/>
        <c:majorGridlines/>
        <c:numFmt formatCode="0.00" sourceLinked="0"/>
        <c:tickLblPos val="nextTo"/>
        <c:crossAx val="112006272"/>
        <c:crosses val="autoZero"/>
        <c:crossBetween val="midCat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Ciclo n.3</a:t>
            </a:r>
          </a:p>
        </c:rich>
      </c:tx>
      <c:layout>
        <c:manualLayout>
          <c:xMode val="edge"/>
          <c:yMode val="edge"/>
          <c:x val="0.12050699912510945"/>
          <c:y val="6.9444444444444503E-2"/>
        </c:manualLayout>
      </c:layout>
      <c:overlay val="1"/>
      <c:spPr>
        <a:solidFill>
          <a:schemeClr val="bg1"/>
        </a:solidFill>
        <a:ln>
          <a:solidFill>
            <a:schemeClr val="accent1"/>
          </a:solidFill>
        </a:ln>
      </c:spPr>
    </c:title>
    <c:plotArea>
      <c:layout/>
      <c:scatterChart>
        <c:scatterStyle val="lineMarker"/>
        <c:ser>
          <c:idx val="0"/>
          <c:order val="0"/>
          <c:tx>
            <c:strRef>
              <c:f>Tarature!$E$3</c:f>
              <c:strCache>
                <c:ptCount val="1"/>
                <c:pt idx="0">
                  <c:v>Output (V)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4.8909423512143682E-2"/>
                  <c:y val="0.35027766266058846"/>
                </c:manualLayout>
              </c:layout>
              <c:numFmt formatCode="General" sourceLinked="0"/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</c:spPr>
            </c:trendlineLbl>
          </c:trendline>
          <c:xVal>
            <c:numRef>
              <c:f>Tarature!$N$4:$N$12</c:f>
              <c:numCache>
                <c:formatCode>0.0000</c:formatCode>
                <c:ptCount val="9"/>
                <c:pt idx="0">
                  <c:v>0</c:v>
                </c:pt>
                <c:pt idx="1">
                  <c:v>0.49760000000000004</c:v>
                </c:pt>
                <c:pt idx="2">
                  <c:v>0.99680000000000002</c:v>
                </c:pt>
                <c:pt idx="3">
                  <c:v>1.4950000000000001</c:v>
                </c:pt>
                <c:pt idx="4">
                  <c:v>1.9898000000000002</c:v>
                </c:pt>
                <c:pt idx="5">
                  <c:v>1.4950000000000001</c:v>
                </c:pt>
                <c:pt idx="6">
                  <c:v>0.99680000000000002</c:v>
                </c:pt>
                <c:pt idx="7">
                  <c:v>0.49760000000000004</c:v>
                </c:pt>
                <c:pt idx="8">
                  <c:v>0</c:v>
                </c:pt>
              </c:numCache>
            </c:numRef>
          </c:xVal>
          <c:yVal>
            <c:numRef>
              <c:f>Tarature!$O$4:$O$12</c:f>
              <c:numCache>
                <c:formatCode>0.000</c:formatCode>
                <c:ptCount val="9"/>
                <c:pt idx="0">
                  <c:v>0</c:v>
                </c:pt>
                <c:pt idx="1">
                  <c:v>2.4999999999999996</c:v>
                </c:pt>
                <c:pt idx="2">
                  <c:v>5</c:v>
                </c:pt>
                <c:pt idx="3">
                  <c:v>7.5</c:v>
                </c:pt>
                <c:pt idx="4">
                  <c:v>9.9899999999999984</c:v>
                </c:pt>
                <c:pt idx="5">
                  <c:v>7.5</c:v>
                </c:pt>
                <c:pt idx="6">
                  <c:v>5</c:v>
                </c:pt>
                <c:pt idx="7">
                  <c:v>2.4899999999999998</c:v>
                </c:pt>
                <c:pt idx="8">
                  <c:v>0</c:v>
                </c:pt>
              </c:numCache>
            </c:numRef>
          </c:yVal>
        </c:ser>
        <c:axId val="112053248"/>
        <c:axId val="112063616"/>
      </c:scatterChart>
      <c:valAx>
        <c:axId val="112053248"/>
        <c:scaling>
          <c:orientation val="minMax"/>
          <c:max val="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 (kg)</a:t>
                </a:r>
              </a:p>
            </c:rich>
          </c:tx>
          <c:layout>
            <c:manualLayout>
              <c:xMode val="edge"/>
              <c:yMode val="edge"/>
              <c:x val="0.48521281714785741"/>
              <c:y val="0.90182852143482062"/>
            </c:manualLayout>
          </c:layout>
        </c:title>
        <c:numFmt formatCode="0.00" sourceLinked="0"/>
        <c:tickLblPos val="nextTo"/>
        <c:crossAx val="112063616"/>
        <c:crosses val="autoZero"/>
        <c:crossBetween val="midCat"/>
      </c:valAx>
      <c:valAx>
        <c:axId val="112063616"/>
        <c:scaling>
          <c:orientation val="minMax"/>
          <c:max val="10"/>
        </c:scaling>
        <c:axPos val="l"/>
        <c:majorGridlines/>
        <c:numFmt formatCode="0.00" sourceLinked="0"/>
        <c:tickLblPos val="nextTo"/>
        <c:crossAx val="112053248"/>
        <c:crosses val="autoZero"/>
        <c:crossBetween val="midCat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25</xdr:row>
      <xdr:rowOff>85725</xdr:rowOff>
    </xdr:from>
    <xdr:to>
      <xdr:col>5</xdr:col>
      <xdr:colOff>285750</xdr:colOff>
      <xdr:row>36</xdr:row>
      <xdr:rowOff>161925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495300</xdr:colOff>
      <xdr:row>25</xdr:row>
      <xdr:rowOff>95250</xdr:rowOff>
    </xdr:from>
    <xdr:to>
      <xdr:col>11</xdr:col>
      <xdr:colOff>209550</xdr:colOff>
      <xdr:row>36</xdr:row>
      <xdr:rowOff>171450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381000</xdr:colOff>
      <xdr:row>25</xdr:row>
      <xdr:rowOff>104775</xdr:rowOff>
    </xdr:from>
    <xdr:to>
      <xdr:col>17</xdr:col>
      <xdr:colOff>180975</xdr:colOff>
      <xdr:row>36</xdr:row>
      <xdr:rowOff>180975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7"/>
  <sheetViews>
    <sheetView tabSelected="1" workbookViewId="0">
      <selection activeCell="H22" sqref="H22"/>
    </sheetView>
  </sheetViews>
  <sheetFormatPr defaultRowHeight="15"/>
  <cols>
    <col min="2" max="2" width="14" bestFit="1" customWidth="1"/>
    <col min="3" max="3" width="3.85546875" customWidth="1"/>
    <col min="5" max="5" width="10.42578125" bestFit="1" customWidth="1"/>
    <col min="7" max="7" width="10.7109375" customWidth="1"/>
    <col min="10" max="10" width="10.42578125" bestFit="1" customWidth="1"/>
    <col min="21" max="21" width="10.42578125" bestFit="1" customWidth="1"/>
  </cols>
  <sheetData>
    <row r="1" spans="1:23">
      <c r="T1" s="36" t="s">
        <v>35</v>
      </c>
      <c r="U1" s="36"/>
      <c r="V1" s="36"/>
      <c r="W1" s="36"/>
    </row>
    <row r="2" spans="1:23">
      <c r="D2" s="33" t="s">
        <v>5</v>
      </c>
      <c r="E2" s="34"/>
      <c r="I2" s="33" t="s">
        <v>9</v>
      </c>
      <c r="J2" s="34"/>
      <c r="N2" s="33" t="s">
        <v>10</v>
      </c>
      <c r="O2" s="34"/>
      <c r="T2" s="22" t="s">
        <v>6</v>
      </c>
      <c r="U2" s="23" t="s">
        <v>8</v>
      </c>
      <c r="V2" s="24" t="s">
        <v>16</v>
      </c>
      <c r="W2" s="7" t="s">
        <v>17</v>
      </c>
    </row>
    <row r="3" spans="1:23">
      <c r="A3" s="6"/>
      <c r="B3" s="7" t="s">
        <v>0</v>
      </c>
      <c r="D3" s="12" t="s">
        <v>6</v>
      </c>
      <c r="E3" s="9" t="s">
        <v>8</v>
      </c>
      <c r="F3" s="3" t="s">
        <v>16</v>
      </c>
      <c r="G3" t="s">
        <v>17</v>
      </c>
      <c r="I3" s="12" t="s">
        <v>6</v>
      </c>
      <c r="J3" s="16" t="s">
        <v>8</v>
      </c>
      <c r="K3" s="3" t="s">
        <v>16</v>
      </c>
      <c r="L3" t="s">
        <v>17</v>
      </c>
      <c r="N3" s="12" t="s">
        <v>6</v>
      </c>
      <c r="O3" s="16" t="s">
        <v>8</v>
      </c>
      <c r="P3" s="3" t="s">
        <v>16</v>
      </c>
      <c r="Q3" t="s">
        <v>17</v>
      </c>
      <c r="T3" s="13">
        <v>0</v>
      </c>
      <c r="U3" s="21">
        <f>E4-E$16</f>
        <v>-3.4848522153501094E-3</v>
      </c>
      <c r="V3" s="21">
        <f>U$33+U$32*T3</f>
        <v>0</v>
      </c>
      <c r="W3" s="25">
        <f>(V3-U3)^2</f>
        <v>1.2144194962830566E-5</v>
      </c>
    </row>
    <row r="4" spans="1:23">
      <c r="A4" s="8" t="s">
        <v>1</v>
      </c>
      <c r="B4" s="9">
        <f>497.6/1000</f>
        <v>0.49760000000000004</v>
      </c>
      <c r="D4" s="13">
        <v>0</v>
      </c>
      <c r="E4" s="14">
        <v>0</v>
      </c>
      <c r="F4" s="2">
        <f>E$16+E$15*D4</f>
        <v>3.4848522153501094E-3</v>
      </c>
      <c r="G4" s="5">
        <f>(F4-E4)^2</f>
        <v>1.2144194962830566E-5</v>
      </c>
      <c r="I4" s="13">
        <v>0</v>
      </c>
      <c r="J4" s="14">
        <v>0</v>
      </c>
      <c r="K4" s="2">
        <f>J$16+J$15*I4</f>
        <v>-1.7453875227699811E-3</v>
      </c>
      <c r="L4" s="5">
        <f>(K4-J4)^2</f>
        <v>3.0463776046411313E-6</v>
      </c>
      <c r="N4" s="13">
        <v>0</v>
      </c>
      <c r="O4" s="14">
        <v>0</v>
      </c>
      <c r="P4" s="2">
        <f>O$16+O$15*N4</f>
        <v>-1.7437898041636757E-3</v>
      </c>
      <c r="Q4" s="5">
        <f>(P4-O4)^2</f>
        <v>3.0408028811051904E-6</v>
      </c>
      <c r="T4" s="13">
        <v>0.49760000000000004</v>
      </c>
      <c r="U4" s="21">
        <f t="shared" ref="U4:U11" si="0">E5-E$16</f>
        <v>2.49951514778465</v>
      </c>
      <c r="V4" s="21">
        <f t="shared" ref="V4:V29" si="1">U$33+U$32*T4</f>
        <v>2.4964933434388188</v>
      </c>
      <c r="W4" s="25">
        <f t="shared" ref="W4:W29" si="2">(V4-U4)^2</f>
        <v>9.1313015044844102E-6</v>
      </c>
    </row>
    <row r="5" spans="1:23">
      <c r="A5" s="8" t="s">
        <v>2</v>
      </c>
      <c r="B5" s="9">
        <f>499.2/1000</f>
        <v>0.49919999999999998</v>
      </c>
      <c r="D5" s="13">
        <f>(D4+B4)</f>
        <v>0.49760000000000004</v>
      </c>
      <c r="E5" s="14">
        <v>2.5030000000000001</v>
      </c>
      <c r="F5" s="2">
        <f t="shared" ref="F5:F12" si="3">E$16+E$15*D5</f>
        <v>2.4991428897424908</v>
      </c>
      <c r="G5" s="5">
        <f t="shared" ref="G5:G12" si="4">(F5-E5)^2</f>
        <v>1.4877299538583798E-5</v>
      </c>
      <c r="I5" s="13">
        <v>0.49760000000000004</v>
      </c>
      <c r="J5" s="14">
        <v>2.4979999999999998</v>
      </c>
      <c r="K5" s="2">
        <f t="shared" ref="K5:K12" si="5">J$16+J$15*I5</f>
        <v>2.4945416068654498</v>
      </c>
      <c r="L5" s="5">
        <f t="shared" ref="L5:L12" si="6">(K5-J5)^2</f>
        <v>1.1960483073102479E-5</v>
      </c>
      <c r="N5" s="13">
        <v>0.49760000000000004</v>
      </c>
      <c r="O5" s="14">
        <v>2.4999999999999996</v>
      </c>
      <c r="P5" s="2">
        <f t="shared" ref="P5:P12" si="7">O$16+O$15*N5</f>
        <v>2.4957912085969309</v>
      </c>
      <c r="Q5" s="5">
        <f t="shared" ref="Q5:Q12" si="8">(P5-O5)^2</f>
        <v>1.7713925074544353E-5</v>
      </c>
      <c r="T5" s="13">
        <v>0.99680000000000002</v>
      </c>
      <c r="U5" s="21">
        <f t="shared" si="0"/>
        <v>4.9955151477846504</v>
      </c>
      <c r="V5" s="21">
        <f t="shared" si="1"/>
        <v>5.0010139966636142</v>
      </c>
      <c r="W5" s="25">
        <f t="shared" si="2"/>
        <v>3.0237338993681344E-5</v>
      </c>
    </row>
    <row r="6" spans="1:23">
      <c r="A6" s="8" t="s">
        <v>3</v>
      </c>
      <c r="B6" s="9">
        <f>498.2/1000</f>
        <v>0.49819999999999998</v>
      </c>
      <c r="D6" s="13">
        <f>(D5+B5)</f>
        <v>0.99680000000000002</v>
      </c>
      <c r="E6" s="14">
        <v>4.9990000000000006</v>
      </c>
      <c r="F6" s="2">
        <f t="shared" si="3"/>
        <v>5.0028255511845092</v>
      </c>
      <c r="G6" s="5">
        <f t="shared" si="4"/>
        <v>1.4634841865295679E-5</v>
      </c>
      <c r="I6" s="13">
        <v>0.99680000000000002</v>
      </c>
      <c r="J6" s="14">
        <v>4.9980000000000002</v>
      </c>
      <c r="K6" s="2">
        <f t="shared" si="5"/>
        <v>4.9988552475378762</v>
      </c>
      <c r="L6" s="5">
        <f t="shared" si="6"/>
        <v>7.3144835104300265E-7</v>
      </c>
      <c r="N6" s="13">
        <v>0.99680000000000002</v>
      </c>
      <c r="O6" s="14">
        <v>5</v>
      </c>
      <c r="P6" s="2">
        <f t="shared" si="7"/>
        <v>5.001356866156871</v>
      </c>
      <c r="Q6" s="5">
        <f t="shared" si="8"/>
        <v>1.8410857676619539E-6</v>
      </c>
      <c r="T6" s="13">
        <v>1.4950000000000001</v>
      </c>
      <c r="U6" s="21">
        <f t="shared" si="0"/>
        <v>7.4965151477846499</v>
      </c>
      <c r="V6" s="21">
        <f t="shared" si="1"/>
        <v>7.5005175812721738</v>
      </c>
      <c r="W6" s="25">
        <f t="shared" si="2"/>
        <v>1.6019473822053028E-5</v>
      </c>
    </row>
    <row r="7" spans="1:23">
      <c r="A7" s="10" t="s">
        <v>4</v>
      </c>
      <c r="B7" s="11">
        <f>494.8/1000</f>
        <v>0.49480000000000002</v>
      </c>
      <c r="D7" s="13">
        <f>(D6+B6)</f>
        <v>1.4950000000000001</v>
      </c>
      <c r="E7" s="14">
        <v>7.5</v>
      </c>
      <c r="F7" s="2">
        <f t="shared" si="3"/>
        <v>7.5014928226797295</v>
      </c>
      <c r="G7" s="5">
        <f t="shared" si="4"/>
        <v>2.2285195531147645E-6</v>
      </c>
      <c r="I7" s="13">
        <v>1.4950000000000001</v>
      </c>
      <c r="J7" s="14">
        <v>7.4979999999999993</v>
      </c>
      <c r="K7" s="2">
        <f t="shared" si="5"/>
        <v>7.4981522342826734</v>
      </c>
      <c r="L7" s="5">
        <f t="shared" si="6"/>
        <v>2.3175276821291596E-8</v>
      </c>
      <c r="N7" s="13">
        <v>1.4950000000000001</v>
      </c>
      <c r="O7" s="14">
        <v>7.5</v>
      </c>
      <c r="P7" s="2">
        <f t="shared" si="7"/>
        <v>7.5019033617425332</v>
      </c>
      <c r="Q7" s="5">
        <f t="shared" si="8"/>
        <v>3.6227859229392077E-6</v>
      </c>
      <c r="T7" s="13">
        <v>1.9898000000000002</v>
      </c>
      <c r="U7" s="21">
        <f t="shared" si="0"/>
        <v>9.9815151477846484</v>
      </c>
      <c r="V7" s="21">
        <f t="shared" si="1"/>
        <v>9.9829631325855335</v>
      </c>
      <c r="W7" s="25">
        <f t="shared" si="2"/>
        <v>2.0966599835940839E-6</v>
      </c>
    </row>
    <row r="8" spans="1:23">
      <c r="D8" s="13">
        <f>(D7+B7)</f>
        <v>1.9898000000000002</v>
      </c>
      <c r="E8" s="14">
        <v>9.9849999999999994</v>
      </c>
      <c r="F8" s="2">
        <f t="shared" si="3"/>
        <v>9.9831077683558327</v>
      </c>
      <c r="G8" s="5">
        <f t="shared" si="4"/>
        <v>3.5805405951859714E-6</v>
      </c>
      <c r="I8" s="13">
        <v>1.9898000000000002</v>
      </c>
      <c r="J8" s="14">
        <v>9.9819999999999993</v>
      </c>
      <c r="K8" s="2">
        <f t="shared" si="5"/>
        <v>9.9803925976735322</v>
      </c>
      <c r="L8" s="5">
        <f t="shared" si="6"/>
        <v>2.5837422391320596E-6</v>
      </c>
      <c r="N8" s="13">
        <v>1.9898000000000002</v>
      </c>
      <c r="O8" s="14">
        <v>9.9899999999999984</v>
      </c>
      <c r="P8" s="2">
        <f t="shared" si="7"/>
        <v>9.9853847066156476</v>
      </c>
      <c r="Q8" s="5">
        <f t="shared" si="8"/>
        <v>2.1300933023632715E-5</v>
      </c>
      <c r="T8" s="13">
        <v>1.4950000000000001</v>
      </c>
      <c r="U8" s="21">
        <f t="shared" si="0"/>
        <v>7.4965151477846499</v>
      </c>
      <c r="V8" s="21">
        <f t="shared" si="1"/>
        <v>7.5005175812721738</v>
      </c>
      <c r="W8" s="25">
        <f t="shared" si="2"/>
        <v>1.6019473822053028E-5</v>
      </c>
    </row>
    <row r="9" spans="1:23">
      <c r="D9" s="13">
        <f>D7</f>
        <v>1.4950000000000001</v>
      </c>
      <c r="E9" s="14">
        <v>7.5</v>
      </c>
      <c r="F9" s="2">
        <f t="shared" si="3"/>
        <v>7.5014928226797295</v>
      </c>
      <c r="G9" s="5">
        <f t="shared" si="4"/>
        <v>2.2285195531147645E-6</v>
      </c>
      <c r="I9" s="13">
        <v>1.4950000000000001</v>
      </c>
      <c r="J9" s="14">
        <v>7.4979999999999993</v>
      </c>
      <c r="K9" s="2">
        <f t="shared" si="5"/>
        <v>7.4981522342826734</v>
      </c>
      <c r="L9" s="5">
        <f t="shared" si="6"/>
        <v>2.3175276821291596E-8</v>
      </c>
      <c r="N9" s="13">
        <v>1.4950000000000001</v>
      </c>
      <c r="O9" s="14">
        <v>7.5</v>
      </c>
      <c r="P9" s="2">
        <f t="shared" si="7"/>
        <v>7.5019033617425332</v>
      </c>
      <c r="Q9" s="5">
        <f t="shared" si="8"/>
        <v>3.6227859229392077E-6</v>
      </c>
      <c r="T9" s="13">
        <v>0.99680000000000002</v>
      </c>
      <c r="U9" s="21">
        <f t="shared" si="0"/>
        <v>5.0005151477846503</v>
      </c>
      <c r="V9" s="21">
        <f t="shared" si="1"/>
        <v>5.0010139966636142</v>
      </c>
      <c r="W9" s="25">
        <f t="shared" si="2"/>
        <v>2.4885020404353761E-7</v>
      </c>
    </row>
    <row r="10" spans="1:23">
      <c r="D10" s="13">
        <f>D6</f>
        <v>0.99680000000000002</v>
      </c>
      <c r="E10" s="14">
        <v>5.0040000000000004</v>
      </c>
      <c r="F10" s="2">
        <f t="shared" si="3"/>
        <v>5.0028255511845092</v>
      </c>
      <c r="G10" s="5">
        <f t="shared" si="4"/>
        <v>1.3793300202087408E-6</v>
      </c>
      <c r="I10" s="13">
        <v>0.99680000000000002</v>
      </c>
      <c r="J10" s="14">
        <v>4.9969999999999999</v>
      </c>
      <c r="K10" s="2">
        <f t="shared" si="5"/>
        <v>4.9988552475378762</v>
      </c>
      <c r="L10" s="5">
        <f t="shared" si="6"/>
        <v>3.4419434267962917E-6</v>
      </c>
      <c r="N10" s="13">
        <v>0.99680000000000002</v>
      </c>
      <c r="O10" s="14">
        <v>5</v>
      </c>
      <c r="P10" s="2">
        <f t="shared" si="7"/>
        <v>5.001356866156871</v>
      </c>
      <c r="Q10" s="5">
        <f t="shared" si="8"/>
        <v>1.8410857676619539E-6</v>
      </c>
      <c r="T10" s="13">
        <v>0.49760000000000004</v>
      </c>
      <c r="U10" s="21">
        <f t="shared" si="0"/>
        <v>2.4985151477846501</v>
      </c>
      <c r="V10" s="21">
        <f t="shared" si="1"/>
        <v>2.4964933434388188</v>
      </c>
      <c r="W10" s="25">
        <f t="shared" si="2"/>
        <v>4.0876928128224279E-6</v>
      </c>
    </row>
    <row r="11" spans="1:23">
      <c r="D11" s="13">
        <f>D5</f>
        <v>0.49760000000000004</v>
      </c>
      <c r="E11" s="14">
        <v>2.5020000000000002</v>
      </c>
      <c r="F11" s="2">
        <f t="shared" si="3"/>
        <v>2.4991428897424908</v>
      </c>
      <c r="G11" s="5">
        <f t="shared" si="4"/>
        <v>8.1630790235657397E-6</v>
      </c>
      <c r="I11" s="13">
        <v>0.49760000000000004</v>
      </c>
      <c r="J11" s="14">
        <v>2.4909999999999997</v>
      </c>
      <c r="K11" s="2">
        <f t="shared" si="5"/>
        <v>2.4945416068654498</v>
      </c>
      <c r="L11" s="5">
        <f t="shared" si="6"/>
        <v>1.2542979189403502E-5</v>
      </c>
      <c r="N11" s="13">
        <v>0.49760000000000004</v>
      </c>
      <c r="O11" s="14">
        <v>2.4899999999999998</v>
      </c>
      <c r="P11" s="2">
        <f t="shared" si="7"/>
        <v>2.4957912085969309</v>
      </c>
      <c r="Q11" s="5">
        <f t="shared" si="8"/>
        <v>3.3538097013169413E-5</v>
      </c>
      <c r="T11" s="13">
        <v>0</v>
      </c>
      <c r="U11" s="21">
        <f t="shared" si="0"/>
        <v>5.1514778465033828E-4</v>
      </c>
      <c r="V11" s="21">
        <f t="shared" si="1"/>
        <v>0</v>
      </c>
      <c r="W11" s="25">
        <f t="shared" si="2"/>
        <v>2.6537724003015131E-7</v>
      </c>
    </row>
    <row r="12" spans="1:23">
      <c r="D12" s="13">
        <f>D4</f>
        <v>0</v>
      </c>
      <c r="E12" s="14">
        <v>4.0000000000004476E-3</v>
      </c>
      <c r="F12" s="2">
        <f t="shared" si="3"/>
        <v>3.4848522153501094E-3</v>
      </c>
      <c r="G12" s="5">
        <f t="shared" si="4"/>
        <v>2.6537724003015131E-7</v>
      </c>
      <c r="I12" s="13">
        <v>0</v>
      </c>
      <c r="J12" s="14">
        <v>-1.9999999999997797E-3</v>
      </c>
      <c r="K12" s="2">
        <f t="shared" si="5"/>
        <v>-1.7453875227699811E-3</v>
      </c>
      <c r="L12" s="5">
        <f t="shared" si="6"/>
        <v>6.4827513561094725E-8</v>
      </c>
      <c r="N12" s="13">
        <v>0</v>
      </c>
      <c r="O12" s="14">
        <v>0</v>
      </c>
      <c r="P12" s="2">
        <f t="shared" si="7"/>
        <v>-1.7437898041636757E-3</v>
      </c>
      <c r="Q12" s="5">
        <f t="shared" si="8"/>
        <v>3.0408028811051904E-6</v>
      </c>
      <c r="T12" s="13">
        <v>0</v>
      </c>
      <c r="U12" s="21">
        <f>J4-J$16</f>
        <v>1.7453875227699811E-3</v>
      </c>
      <c r="V12" s="21">
        <f t="shared" si="1"/>
        <v>0</v>
      </c>
      <c r="W12" s="25">
        <f t="shared" si="2"/>
        <v>3.0463776046411313E-6</v>
      </c>
    </row>
    <row r="13" spans="1:23">
      <c r="D13" s="8"/>
      <c r="E13" s="9"/>
      <c r="I13" s="8"/>
      <c r="J13" s="9"/>
      <c r="N13" s="8"/>
      <c r="O13" s="9"/>
      <c r="T13" s="13">
        <v>0.49760000000000004</v>
      </c>
      <c r="U13" s="21">
        <f t="shared" ref="U13:U20" si="9">J5-J$16</f>
        <v>2.4997453875227698</v>
      </c>
      <c r="V13" s="21">
        <f t="shared" si="1"/>
        <v>2.4964933434388188</v>
      </c>
      <c r="W13" s="25">
        <f t="shared" si="2"/>
        <v>1.0575790723960482E-5</v>
      </c>
    </row>
    <row r="14" spans="1:23">
      <c r="D14" s="12" t="s">
        <v>7</v>
      </c>
      <c r="E14" s="9">
        <f>COUNTA(D4:D12)</f>
        <v>9</v>
      </c>
      <c r="G14" s="30" t="s">
        <v>34</v>
      </c>
      <c r="H14" s="1"/>
      <c r="I14" s="12" t="s">
        <v>7</v>
      </c>
      <c r="J14" s="9">
        <f>COUNTA(I4:I12)</f>
        <v>9</v>
      </c>
      <c r="L14" s="30" t="s">
        <v>34</v>
      </c>
      <c r="M14" s="1"/>
      <c r="N14" s="12" t="s">
        <v>7</v>
      </c>
      <c r="O14" s="9">
        <f>COUNTA(N4:N12)</f>
        <v>9</v>
      </c>
      <c r="Q14" s="30" t="s">
        <v>34</v>
      </c>
      <c r="T14" s="13">
        <v>0.99680000000000002</v>
      </c>
      <c r="U14" s="21">
        <f t="shared" si="9"/>
        <v>4.9997453875227702</v>
      </c>
      <c r="V14" s="21">
        <f t="shared" si="1"/>
        <v>5.0010139966636142</v>
      </c>
      <c r="W14" s="25">
        <f t="shared" si="2"/>
        <v>1.6093691522330401E-6</v>
      </c>
    </row>
    <row r="15" spans="1:23">
      <c r="B15" s="1" t="s">
        <v>13</v>
      </c>
      <c r="D15" s="8" t="s">
        <v>11</v>
      </c>
      <c r="E15" s="14">
        <f>SLOPE(E4:E12,D4:D12)</f>
        <v>5.0153899467989156</v>
      </c>
      <c r="G15" s="5">
        <f>SQRT(SUM(G4:G12)/(E14-2))</f>
        <v>2.915517654402539E-3</v>
      </c>
      <c r="I15" s="8" t="s">
        <v>11</v>
      </c>
      <c r="J15" s="14">
        <f>SLOPE(J4:J12,I4:I12)</f>
        <v>5.0166539276290587</v>
      </c>
      <c r="L15" s="5">
        <f>SQRT(SUM(L4:L12)/(J14-2))</f>
        <v>2.2174036281626488E-3</v>
      </c>
      <c r="N15" s="8" t="s">
        <v>11</v>
      </c>
      <c r="O15" s="14">
        <f>SLOPE(O4:O12,N4:N12)</f>
        <v>5.0191619742787266</v>
      </c>
      <c r="Q15" s="5">
        <f>SQRT(SUM(Q4:Q12)/(O14-2))</f>
        <v>3.5769560933197131E-3</v>
      </c>
      <c r="T15" s="13">
        <v>1.4950000000000001</v>
      </c>
      <c r="U15" s="21">
        <f t="shared" si="9"/>
        <v>7.4997453875227693</v>
      </c>
      <c r="V15" s="21">
        <f t="shared" si="1"/>
        <v>7.5005175812721738</v>
      </c>
      <c r="W15" s="25">
        <f t="shared" si="2"/>
        <v>5.9628318661940291E-7</v>
      </c>
    </row>
    <row r="16" spans="1:23">
      <c r="B16" s="1" t="s">
        <v>14</v>
      </c>
      <c r="D16" s="10" t="s">
        <v>12</v>
      </c>
      <c r="E16" s="15">
        <f>INTERCEPT(E4:E12,D4:D12)</f>
        <v>3.4848522153501094E-3</v>
      </c>
      <c r="I16" s="10" t="s">
        <v>12</v>
      </c>
      <c r="J16" s="15">
        <f>INTERCEPT(J4:J12,I4:I12)</f>
        <v>-1.7453875227699811E-3</v>
      </c>
      <c r="N16" s="10" t="s">
        <v>12</v>
      </c>
      <c r="O16" s="15">
        <f>INTERCEPT(O4:O12,N4:N12)</f>
        <v>-1.7437898041636757E-3</v>
      </c>
      <c r="T16" s="13">
        <v>1.9898000000000002</v>
      </c>
      <c r="U16" s="21">
        <f t="shared" si="9"/>
        <v>9.9837453875227702</v>
      </c>
      <c r="V16" s="21">
        <f t="shared" si="1"/>
        <v>9.9829631325855335</v>
      </c>
      <c r="W16" s="25">
        <f t="shared" si="2"/>
        <v>6.1192278683121681E-7</v>
      </c>
    </row>
    <row r="17" spans="1:24">
      <c r="T17" s="13">
        <v>1.4950000000000001</v>
      </c>
      <c r="U17" s="21">
        <f t="shared" si="9"/>
        <v>7.4997453875227693</v>
      </c>
      <c r="V17" s="21">
        <f t="shared" si="1"/>
        <v>7.5005175812721738</v>
      </c>
      <c r="W17" s="25">
        <f t="shared" si="2"/>
        <v>5.9628318661940291E-7</v>
      </c>
    </row>
    <row r="18" spans="1:24">
      <c r="A18" t="s">
        <v>36</v>
      </c>
      <c r="B18" s="17" t="s">
        <v>15</v>
      </c>
      <c r="C18" s="18"/>
      <c r="D18" s="18"/>
      <c r="E18" s="19">
        <f>E15*2/5000*1000</f>
        <v>2.0061559787195664</v>
      </c>
      <c r="F18" s="18"/>
      <c r="G18" s="18"/>
      <c r="H18" s="18"/>
      <c r="I18" s="18"/>
      <c r="J18" s="19">
        <f>J15*2/5000*1000</f>
        <v>2.0066615710516236</v>
      </c>
      <c r="K18" s="18"/>
      <c r="L18" s="18"/>
      <c r="M18" s="18"/>
      <c r="N18" s="18"/>
      <c r="O18" s="20">
        <f>O15*2/5000*1000</f>
        <v>2.007664789711491</v>
      </c>
      <c r="T18" s="13">
        <v>0.99680000000000002</v>
      </c>
      <c r="U18" s="21">
        <f t="shared" si="9"/>
        <v>4.9987453875227699</v>
      </c>
      <c r="V18" s="21">
        <f t="shared" si="1"/>
        <v>5.0010139966636142</v>
      </c>
      <c r="W18" s="25">
        <f t="shared" si="2"/>
        <v>5.1465874339226252E-6</v>
      </c>
    </row>
    <row r="19" spans="1:24">
      <c r="T19" s="13">
        <v>0.49760000000000004</v>
      </c>
      <c r="U19" s="21">
        <f t="shared" si="9"/>
        <v>2.4927453875227696</v>
      </c>
      <c r="V19" s="21">
        <f t="shared" si="1"/>
        <v>2.4964933434388188</v>
      </c>
      <c r="W19" s="25">
        <f t="shared" si="2"/>
        <v>1.4047173548647827E-5</v>
      </c>
    </row>
    <row r="20" spans="1:24">
      <c r="B20" s="17" t="s">
        <v>18</v>
      </c>
      <c r="C20" s="18"/>
      <c r="D20" s="18"/>
      <c r="E20" s="20">
        <f>AVERAGE(E18,J18,O18)</f>
        <v>2.0068274464942273</v>
      </c>
      <c r="T20" s="13">
        <v>0</v>
      </c>
      <c r="U20" s="21">
        <f t="shared" si="9"/>
        <v>-2.5461247722979863E-4</v>
      </c>
      <c r="V20" s="21">
        <f t="shared" si="1"/>
        <v>0</v>
      </c>
      <c r="W20" s="25">
        <f t="shared" si="2"/>
        <v>6.4827513561094725E-8</v>
      </c>
    </row>
    <row r="21" spans="1:24">
      <c r="T21" s="13">
        <v>0</v>
      </c>
      <c r="U21" s="21">
        <f>O4-O$16</f>
        <v>1.7437898041636757E-3</v>
      </c>
      <c r="V21" s="21">
        <f t="shared" si="1"/>
        <v>0</v>
      </c>
      <c r="W21" s="25">
        <f t="shared" si="2"/>
        <v>3.0408028811051904E-6</v>
      </c>
    </row>
    <row r="22" spans="1:24">
      <c r="T22" s="13">
        <v>0.49760000000000004</v>
      </c>
      <c r="U22" s="21">
        <f t="shared" ref="U22:U29" si="10">O5-O$16</f>
        <v>2.5017437898041632</v>
      </c>
      <c r="V22" s="21">
        <f t="shared" si="1"/>
        <v>2.4964933434388188</v>
      </c>
      <c r="W22" s="25">
        <f t="shared" si="2"/>
        <v>2.7567187035358652E-5</v>
      </c>
    </row>
    <row r="23" spans="1:24">
      <c r="T23" s="13">
        <v>0.99680000000000002</v>
      </c>
      <c r="U23" s="21">
        <f t="shared" si="10"/>
        <v>5.0017437898041637</v>
      </c>
      <c r="V23" s="21">
        <f t="shared" si="1"/>
        <v>5.0010139966636142</v>
      </c>
      <c r="W23" s="25">
        <f t="shared" si="2"/>
        <v>5.3259802799301403E-7</v>
      </c>
    </row>
    <row r="24" spans="1:24">
      <c r="T24" s="13">
        <v>1.4950000000000001</v>
      </c>
      <c r="U24" s="21">
        <f t="shared" si="10"/>
        <v>7.5017437898041637</v>
      </c>
      <c r="V24" s="21">
        <f t="shared" si="1"/>
        <v>7.5005175812721738</v>
      </c>
      <c r="W24" s="25">
        <f t="shared" si="2"/>
        <v>1.5035873639246969E-6</v>
      </c>
    </row>
    <row r="25" spans="1:24">
      <c r="T25" s="13">
        <v>1.9898000000000002</v>
      </c>
      <c r="U25" s="21">
        <f t="shared" si="10"/>
        <v>9.9917437898041612</v>
      </c>
      <c r="V25" s="21">
        <f t="shared" si="1"/>
        <v>9.9829631325855335</v>
      </c>
      <c r="W25" s="25">
        <f t="shared" si="2"/>
        <v>7.7099941191039657E-5</v>
      </c>
    </row>
    <row r="26" spans="1:24">
      <c r="T26" s="13">
        <v>1.4950000000000001</v>
      </c>
      <c r="U26" s="21">
        <f t="shared" si="10"/>
        <v>7.5017437898041637</v>
      </c>
      <c r="V26" s="21">
        <f t="shared" si="1"/>
        <v>7.5005175812721738</v>
      </c>
      <c r="W26" s="25">
        <f t="shared" si="2"/>
        <v>1.5035873639246969E-6</v>
      </c>
    </row>
    <row r="27" spans="1:24">
      <c r="T27" s="13">
        <v>0.99680000000000002</v>
      </c>
      <c r="U27" s="21">
        <f t="shared" si="10"/>
        <v>5.0017437898041637</v>
      </c>
      <c r="V27" s="21">
        <f t="shared" si="1"/>
        <v>5.0010139966636142</v>
      </c>
      <c r="W27" s="25">
        <f t="shared" si="2"/>
        <v>5.3259802799301403E-7</v>
      </c>
    </row>
    <row r="28" spans="1:24">
      <c r="T28" s="13">
        <v>0.49760000000000004</v>
      </c>
      <c r="U28" s="21">
        <f t="shared" si="10"/>
        <v>2.4917437898041634</v>
      </c>
      <c r="V28" s="21">
        <f t="shared" si="1"/>
        <v>2.4964933434388188</v>
      </c>
      <c r="W28" s="25">
        <f t="shared" si="2"/>
        <v>2.2558259728467805E-5</v>
      </c>
    </row>
    <row r="29" spans="1:24">
      <c r="T29" s="26">
        <v>0</v>
      </c>
      <c r="U29" s="27">
        <f t="shared" si="10"/>
        <v>1.7437898041636757E-3</v>
      </c>
      <c r="V29" s="27">
        <f t="shared" si="1"/>
        <v>0</v>
      </c>
      <c r="W29" s="28">
        <f t="shared" si="2"/>
        <v>3.0408028811051904E-6</v>
      </c>
    </row>
    <row r="31" spans="1:24">
      <c r="T31" s="4" t="s">
        <v>7</v>
      </c>
      <c r="U31">
        <f>COUNTA(T3:T29)</f>
        <v>27</v>
      </c>
    </row>
    <row r="32" spans="1:24">
      <c r="T32" t="s">
        <v>11</v>
      </c>
      <c r="U32" s="2">
        <f>SLOPE(U3:U29,T3:T29)</f>
        <v>5.0170686162355675</v>
      </c>
      <c r="W32" s="5">
        <f>SQRT(SUM(W3:W29)/(U31-2))</f>
        <v>3.2491496917411524E-3</v>
      </c>
      <c r="X32" s="4" t="s">
        <v>19</v>
      </c>
    </row>
    <row r="33" spans="19:24">
      <c r="T33" t="s">
        <v>12</v>
      </c>
      <c r="U33" s="2">
        <f>INTERCEPT(U3:U29,T3:T29)</f>
        <v>0</v>
      </c>
      <c r="X33" s="4"/>
    </row>
    <row r="34" spans="19:24">
      <c r="W34">
        <f>W32/U32</f>
        <v>6.4761914581488642E-4</v>
      </c>
      <c r="X34" s="4" t="s">
        <v>20</v>
      </c>
    </row>
    <row r="35" spans="19:24">
      <c r="S35" t="s">
        <v>15</v>
      </c>
      <c r="U35" s="2">
        <f>U32*2/5000*1000</f>
        <v>2.0068274464942273</v>
      </c>
      <c r="W35" s="2">
        <f>W34*1000</f>
        <v>0.64761914581488644</v>
      </c>
      <c r="X35" s="4" t="s">
        <v>21</v>
      </c>
    </row>
    <row r="36" spans="19:24">
      <c r="W36" s="2">
        <f>3*W35</f>
        <v>1.9428574374446592</v>
      </c>
      <c r="X36" s="4" t="s">
        <v>22</v>
      </c>
    </row>
    <row r="37" spans="19:24">
      <c r="W37" s="2">
        <f>W36/2000*100</f>
        <v>9.7142871872232958E-2</v>
      </c>
      <c r="X37" s="4" t="s">
        <v>23</v>
      </c>
    </row>
  </sheetData>
  <mergeCells count="4">
    <mergeCell ref="D2:E2"/>
    <mergeCell ref="I2:J2"/>
    <mergeCell ref="N2:O2"/>
    <mergeCell ref="T1:W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C2:I22"/>
  <sheetViews>
    <sheetView workbookViewId="0">
      <selection activeCell="F15" sqref="F15"/>
    </sheetView>
  </sheetViews>
  <sheetFormatPr defaultRowHeight="15"/>
  <cols>
    <col min="4" max="4" width="10.42578125" bestFit="1" customWidth="1"/>
    <col min="5" max="5" width="9.140625" customWidth="1"/>
    <col min="6" max="6" width="10.5703125" bestFit="1" customWidth="1"/>
    <col min="8" max="8" width="12.7109375" bestFit="1" customWidth="1"/>
    <col min="11" max="11" width="11.7109375" bestFit="1" customWidth="1"/>
  </cols>
  <sheetData>
    <row r="2" spans="3:8">
      <c r="C2" s="33" t="s">
        <v>5</v>
      </c>
      <c r="D2" s="34"/>
    </row>
    <row r="3" spans="3:8">
      <c r="C3" s="12" t="s">
        <v>6</v>
      </c>
      <c r="D3" s="9" t="s">
        <v>8</v>
      </c>
      <c r="E3" s="4" t="s">
        <v>16</v>
      </c>
      <c r="F3" s="4" t="s">
        <v>24</v>
      </c>
      <c r="H3" s="31" t="s">
        <v>33</v>
      </c>
    </row>
    <row r="4" spans="3:8">
      <c r="C4" s="13">
        <v>0</v>
      </c>
      <c r="D4" s="14">
        <v>0</v>
      </c>
      <c r="E4" s="2">
        <f>D$16+D$15*C4</f>
        <v>-1.7437898041636757E-3</v>
      </c>
      <c r="F4" s="5">
        <f>(E4-D4)</f>
        <v>-1.7437898041636757E-3</v>
      </c>
      <c r="H4" t="str">
        <f>IF(ABS(F4)&lt;=I$21,"Sì","No")</f>
        <v>Sì</v>
      </c>
    </row>
    <row r="5" spans="3:8">
      <c r="C5" s="13">
        <v>0.49760000000000004</v>
      </c>
      <c r="D5" s="14">
        <v>2.4999999999999996</v>
      </c>
      <c r="E5" s="2">
        <f t="shared" ref="E5:E12" si="0">D$16+D$15*C5</f>
        <v>2.4957912085969309</v>
      </c>
      <c r="F5" s="5">
        <f t="shared" ref="F5:F12" si="1">(E5-D5)</f>
        <v>-4.2087914030686235E-3</v>
      </c>
      <c r="H5" t="str">
        <f t="shared" ref="H5:H12" si="2">IF(ABS(F5)&lt;=I$21,"Sì","No")</f>
        <v>Sì</v>
      </c>
    </row>
    <row r="6" spans="3:8">
      <c r="C6" s="13">
        <v>0.99680000000000002</v>
      </c>
      <c r="D6" s="14">
        <v>5</v>
      </c>
      <c r="E6" s="2">
        <f t="shared" si="0"/>
        <v>5.001356866156871</v>
      </c>
      <c r="F6" s="5">
        <f t="shared" si="1"/>
        <v>1.3568661568710283E-3</v>
      </c>
      <c r="H6" t="str">
        <f t="shared" si="2"/>
        <v>Sì</v>
      </c>
    </row>
    <row r="7" spans="3:8">
      <c r="C7" s="13">
        <v>1.4950000000000001</v>
      </c>
      <c r="D7" s="14">
        <v>7.5</v>
      </c>
      <c r="E7" s="2">
        <f t="shared" si="0"/>
        <v>7.5019033617425332</v>
      </c>
      <c r="F7" s="5">
        <f t="shared" si="1"/>
        <v>1.9033617425332494E-3</v>
      </c>
      <c r="H7" t="str">
        <f t="shared" si="2"/>
        <v>Sì</v>
      </c>
    </row>
    <row r="8" spans="3:8">
      <c r="C8" s="13">
        <v>1.9898000000000002</v>
      </c>
      <c r="D8" s="14">
        <v>9.9899999999999984</v>
      </c>
      <c r="E8" s="2">
        <f t="shared" si="0"/>
        <v>9.9853847066156476</v>
      </c>
      <c r="F8" s="5">
        <f t="shared" si="1"/>
        <v>-4.6152933843508492E-3</v>
      </c>
      <c r="H8" t="str">
        <f t="shared" si="2"/>
        <v>Sì</v>
      </c>
    </row>
    <row r="9" spans="3:8">
      <c r="C9" s="13">
        <v>1.4950000000000001</v>
      </c>
      <c r="D9" s="14">
        <v>7.5</v>
      </c>
      <c r="E9" s="2">
        <f t="shared" si="0"/>
        <v>7.5019033617425332</v>
      </c>
      <c r="F9" s="5">
        <f t="shared" si="1"/>
        <v>1.9033617425332494E-3</v>
      </c>
      <c r="H9" t="str">
        <f t="shared" si="2"/>
        <v>Sì</v>
      </c>
    </row>
    <row r="10" spans="3:8">
      <c r="C10" s="13">
        <v>0.99680000000000002</v>
      </c>
      <c r="D10" s="14">
        <v>5</v>
      </c>
      <c r="E10" s="2">
        <f t="shared" si="0"/>
        <v>5.001356866156871</v>
      </c>
      <c r="F10" s="5">
        <f t="shared" si="1"/>
        <v>1.3568661568710283E-3</v>
      </c>
      <c r="H10" t="str">
        <f t="shared" si="2"/>
        <v>Sì</v>
      </c>
    </row>
    <row r="11" spans="3:8">
      <c r="C11" s="13">
        <v>0.49760000000000004</v>
      </c>
      <c r="D11" s="14">
        <v>2.4899999999999998</v>
      </c>
      <c r="E11" s="2">
        <f t="shared" si="0"/>
        <v>2.4957912085969309</v>
      </c>
      <c r="F11" s="5">
        <f t="shared" si="1"/>
        <v>5.7912085969311633E-3</v>
      </c>
      <c r="H11" t="str">
        <f t="shared" si="2"/>
        <v>Sì</v>
      </c>
    </row>
    <row r="12" spans="3:8">
      <c r="C12" s="13">
        <v>0</v>
      </c>
      <c r="D12" s="14">
        <v>0</v>
      </c>
      <c r="E12" s="2">
        <f t="shared" si="0"/>
        <v>-1.7437898041636757E-3</v>
      </c>
      <c r="F12" s="5">
        <f t="shared" si="1"/>
        <v>-1.7437898041636757E-3</v>
      </c>
      <c r="H12" t="str">
        <f t="shared" si="2"/>
        <v>Sì</v>
      </c>
    </row>
    <row r="13" spans="3:8">
      <c r="C13" s="8"/>
      <c r="D13" s="9"/>
    </row>
    <row r="14" spans="3:8">
      <c r="C14" s="12" t="s">
        <v>7</v>
      </c>
      <c r="D14" s="9">
        <f>COUNTA(C4:C12)</f>
        <v>9</v>
      </c>
    </row>
    <row r="15" spans="3:8">
      <c r="C15" s="8" t="s">
        <v>11</v>
      </c>
      <c r="D15" s="14">
        <f>SLOPE(D4:D12,C4:C12)</f>
        <v>5.0191619742787266</v>
      </c>
      <c r="F15" s="5">
        <f>AVERAGE(F4:F12)</f>
        <v>-7.894919286223335E-16</v>
      </c>
      <c r="G15" t="s">
        <v>25</v>
      </c>
    </row>
    <row r="16" spans="3:8">
      <c r="C16" s="10" t="s">
        <v>12</v>
      </c>
      <c r="D16" s="15">
        <f>INTERCEPT(D4:D12,C4:C12)</f>
        <v>-1.7437898041636757E-3</v>
      </c>
      <c r="F16" s="5">
        <f>STDEV(F4:F12)</f>
        <v>3.3459360471839411E-3</v>
      </c>
      <c r="G16" t="s">
        <v>26</v>
      </c>
    </row>
    <row r="19" spans="3:9">
      <c r="C19" t="s">
        <v>27</v>
      </c>
      <c r="D19" s="2">
        <f>1-1/2/D14</f>
        <v>0.94444444444444442</v>
      </c>
      <c r="H19" s="35" t="s">
        <v>30</v>
      </c>
      <c r="I19" s="35"/>
    </row>
    <row r="20" spans="3:9">
      <c r="C20" t="s">
        <v>28</v>
      </c>
      <c r="D20" s="2">
        <f>(1+D19)/2</f>
        <v>0.97222222222222221</v>
      </c>
      <c r="H20" s="31" t="s">
        <v>31</v>
      </c>
      <c r="I20" s="31" t="s">
        <v>32</v>
      </c>
    </row>
    <row r="21" spans="3:9">
      <c r="H21" s="29">
        <f>-D22*F16</f>
        <v>-6.4058140525970197E-3</v>
      </c>
      <c r="I21" s="29">
        <f>D22*F16</f>
        <v>6.4058140525970197E-3</v>
      </c>
    </row>
    <row r="22" spans="3:9">
      <c r="C22" t="s">
        <v>29</v>
      </c>
      <c r="D22" s="2">
        <f>NORMINV(D20,0,1)</f>
        <v>1.9145058250555569</v>
      </c>
    </row>
  </sheetData>
  <mergeCells count="2">
    <mergeCell ref="C2:D2"/>
    <mergeCell ref="H19:I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3:K20"/>
  <sheetViews>
    <sheetView workbookViewId="0">
      <selection activeCell="H20" sqref="H20"/>
    </sheetView>
  </sheetViews>
  <sheetFormatPr defaultRowHeight="15"/>
  <cols>
    <col min="2" max="2" width="13.28515625" bestFit="1" customWidth="1"/>
    <col min="4" max="4" width="12" bestFit="1" customWidth="1"/>
    <col min="9" max="9" width="12" bestFit="1" customWidth="1"/>
  </cols>
  <sheetData>
    <row r="3" spans="3:11">
      <c r="C3" s="35" t="s">
        <v>5</v>
      </c>
      <c r="D3" s="35"/>
      <c r="H3" s="35" t="s">
        <v>9</v>
      </c>
      <c r="I3" s="35"/>
    </row>
    <row r="4" spans="3:11">
      <c r="C4" s="30" t="s">
        <v>6</v>
      </c>
      <c r="D4" s="30" t="s">
        <v>8</v>
      </c>
      <c r="H4" s="30" t="s">
        <v>6</v>
      </c>
      <c r="I4" s="30" t="s">
        <v>8</v>
      </c>
    </row>
    <row r="5" spans="3:11">
      <c r="C5" s="2">
        <v>0</v>
      </c>
      <c r="D5" s="2">
        <v>0</v>
      </c>
      <c r="E5" s="32"/>
      <c r="H5">
        <v>0</v>
      </c>
      <c r="I5">
        <v>0</v>
      </c>
    </row>
    <row r="6" spans="3:11">
      <c r="C6" s="2">
        <v>0.49760000000000004</v>
      </c>
      <c r="D6" s="2">
        <v>2.5030000000000001</v>
      </c>
      <c r="E6" s="32"/>
      <c r="H6">
        <v>0.49760000000000004</v>
      </c>
      <c r="I6">
        <v>2.4979999999999998</v>
      </c>
    </row>
    <row r="7" spans="3:11">
      <c r="C7" s="2">
        <v>0.99680000000000002</v>
      </c>
      <c r="D7" s="2">
        <v>4.9990000000000006</v>
      </c>
      <c r="E7" s="32"/>
      <c r="H7">
        <v>0.99680000000000002</v>
      </c>
      <c r="I7">
        <v>4.9980000000000002</v>
      </c>
    </row>
    <row r="8" spans="3:11">
      <c r="C8" s="2">
        <v>1.4950000000000001</v>
      </c>
      <c r="D8" s="2">
        <v>7.5</v>
      </c>
      <c r="E8" s="32"/>
      <c r="H8">
        <v>1.4950000000000001</v>
      </c>
      <c r="I8">
        <v>7.4979999999999993</v>
      </c>
    </row>
    <row r="9" spans="3:11">
      <c r="C9" s="2">
        <v>1.9898000000000002</v>
      </c>
      <c r="D9" s="2">
        <v>9.9849999999999994</v>
      </c>
      <c r="E9" s="32"/>
      <c r="H9">
        <v>1.9898000000000002</v>
      </c>
      <c r="I9">
        <v>9.9819999999999993</v>
      </c>
    </row>
    <row r="10" spans="3:11">
      <c r="C10" s="2">
        <v>1.4950000000000001</v>
      </c>
      <c r="D10" s="2">
        <v>7.5</v>
      </c>
      <c r="E10" s="32"/>
      <c r="H10">
        <v>1.4950000000000001</v>
      </c>
      <c r="I10">
        <v>7.4979999999999993</v>
      </c>
    </row>
    <row r="11" spans="3:11">
      <c r="C11" s="2">
        <v>0.99680000000000002</v>
      </c>
      <c r="D11" s="2">
        <v>5.0040000000000004</v>
      </c>
      <c r="E11" s="32"/>
      <c r="H11">
        <v>0.99680000000000002</v>
      </c>
      <c r="I11">
        <v>4.9969999999999999</v>
      </c>
    </row>
    <row r="12" spans="3:11">
      <c r="C12" s="2">
        <v>0.49760000000000004</v>
      </c>
      <c r="D12" s="2">
        <v>2.5020000000000002</v>
      </c>
      <c r="E12" s="32"/>
      <c r="H12">
        <v>0.49760000000000004</v>
      </c>
      <c r="I12">
        <v>2.4909999999999997</v>
      </c>
    </row>
    <row r="13" spans="3:11">
      <c r="C13" s="2">
        <v>0</v>
      </c>
      <c r="D13" s="2">
        <v>4.0000000000004476E-3</v>
      </c>
      <c r="E13" s="32"/>
      <c r="H13">
        <v>0</v>
      </c>
      <c r="I13">
        <v>-1.9999999999997797E-3</v>
      </c>
    </row>
    <row r="15" spans="3:11">
      <c r="C15" s="30" t="s">
        <v>7</v>
      </c>
      <c r="D15">
        <v>9</v>
      </c>
      <c r="F15" s="30" t="s">
        <v>34</v>
      </c>
      <c r="H15" s="30" t="s">
        <v>7</v>
      </c>
      <c r="I15">
        <v>9</v>
      </c>
      <c r="K15" s="30" t="s">
        <v>34</v>
      </c>
    </row>
    <row r="16" spans="3:11">
      <c r="C16" t="s">
        <v>11</v>
      </c>
      <c r="D16" s="2">
        <v>5.0153899467989156</v>
      </c>
      <c r="F16">
        <v>2.915517654402539E-3</v>
      </c>
      <c r="H16" t="s">
        <v>11</v>
      </c>
      <c r="I16" s="2">
        <v>5.0166539276290587</v>
      </c>
      <c r="K16">
        <v>2.2174036281626488E-3</v>
      </c>
    </row>
    <row r="20" spans="3:3">
      <c r="C20" s="2">
        <f>(-D16+I16)/(SQRT(F16^2/9+K16^2/9))</f>
        <v>1.0352185774709053</v>
      </c>
    </row>
  </sheetData>
  <mergeCells count="2">
    <mergeCell ref="C3:D3"/>
    <mergeCell ref="H3:I3"/>
  </mergeCells>
  <pageMargins left="0.7" right="0.7" top="0.75" bottom="0.75" header="0.3" footer="0.3"/>
  <pageSetup paperSize="9" orientation="portrait" verticalDpi="0" r:id="rId1"/>
  <legacyDrawing r:id="rId2"/>
  <oleObjects>
    <oleObject progId="Equation.3" shapeId="1028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Tarature</vt:lpstr>
      <vt:lpstr>Chauvenet</vt:lpstr>
      <vt:lpstr>Confronto fra cicli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Tonio</dc:creator>
  <cp:lastModifiedBy>Tony</cp:lastModifiedBy>
  <dcterms:created xsi:type="dcterms:W3CDTF">2019-10-20T18:16:53Z</dcterms:created>
  <dcterms:modified xsi:type="dcterms:W3CDTF">2019-11-07T12:01:04Z</dcterms:modified>
</cp:coreProperties>
</file>